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O:\stuenr\misc\"/>
    </mc:Choice>
  </mc:AlternateContent>
  <xr:revisionPtr revIDLastSave="0" documentId="13_ncr:1_{93B737A4-5A4A-47F7-9365-A329EDE76DA4}" xr6:coauthVersionLast="47" xr6:coauthVersionMax="47" xr10:uidLastSave="{00000000-0000-0000-0000-000000000000}"/>
  <bookViews>
    <workbookView xWindow="25080" yWindow="-120" windowWidth="25440" windowHeight="15390" xr2:uid="{B592CF3B-C097-074B-909E-39EA74D2F2C2}"/>
  </bookViews>
  <sheets>
    <sheet name="CDS-A" sheetId="4" r:id="rId1"/>
    <sheet name="CDS-B" sheetId="19" r:id="rId2"/>
    <sheet name="CDS-C" sheetId="21" r:id="rId3"/>
    <sheet name="CDS-D" sheetId="22" r:id="rId4"/>
    <sheet name="CDS-E" sheetId="8" r:id="rId5"/>
    <sheet name="CDS-F" sheetId="9" r:id="rId6"/>
    <sheet name="CDS-G" sheetId="23" r:id="rId7"/>
    <sheet name="CDS-H" sheetId="24" r:id="rId8"/>
    <sheet name="CDS-I" sheetId="20" r:id="rId9"/>
    <sheet name="CDS-J" sheetId="25" r:id="rId10"/>
    <sheet name="DEFINITIONS" sheetId="15" r:id="rId11"/>
    <sheet name="multi select" sheetId="18" state="hidden" r:id="rId12"/>
    <sheet name="validations" sheetId="17" state="hidden" r:id="rId13"/>
  </sheets>
  <externalReferences>
    <externalReference r:id="rId14"/>
    <externalReference r:id="rId15"/>
  </externalReferences>
  <definedNames>
    <definedName name="_Hlk22631867" localSheetId="10">DEFINITIONS!$A$97</definedName>
    <definedName name="OLE_LINK2" localSheetId="2">'CDS-C'!$A$3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20" l="1"/>
  <c r="D23" i="20"/>
  <c r="E23" i="20" s="1"/>
  <c r="C23" i="20"/>
  <c r="E22" i="20"/>
  <c r="E21" i="20"/>
  <c r="D20" i="20"/>
  <c r="E20" i="20" s="1"/>
  <c r="C20" i="20"/>
  <c r="E19" i="20"/>
  <c r="E18" i="20"/>
  <c r="E17" i="20"/>
  <c r="D16" i="20"/>
  <c r="E16" i="20" s="1"/>
  <c r="C16" i="20"/>
  <c r="E15" i="20"/>
  <c r="C143" i="24" l="1"/>
  <c r="D58" i="24"/>
  <c r="C58" i="24"/>
  <c r="C54" i="24"/>
  <c r="D50" i="24"/>
  <c r="D54" i="24" s="1"/>
  <c r="E16" i="22" l="1"/>
  <c r="D16" i="22"/>
  <c r="C16" i="22"/>
  <c r="E20" i="21"/>
  <c r="E21" i="21"/>
  <c r="E22" i="21"/>
  <c r="B176" i="21"/>
  <c r="C176" i="21"/>
  <c r="B185" i="21"/>
  <c r="E185" i="21"/>
  <c r="B195" i="21"/>
  <c r="C195" i="21"/>
  <c r="D195" i="21"/>
  <c r="E195" i="21"/>
  <c r="B227" i="21"/>
  <c r="C227" i="21"/>
  <c r="D227" i="21"/>
  <c r="C47" i="20" l="1"/>
  <c r="E47" i="20"/>
  <c r="B13" i="19"/>
  <c r="B15" i="19" s="1"/>
  <c r="E19" i="19" s="1"/>
  <c r="C13" i="19"/>
  <c r="D13" i="19"/>
  <c r="E13" i="19"/>
  <c r="E15" i="19" s="1"/>
  <c r="F13" i="19"/>
  <c r="F15" i="19" s="1"/>
  <c r="G13" i="19"/>
  <c r="G15" i="19" s="1"/>
  <c r="C15" i="19"/>
  <c r="D15" i="19"/>
  <c r="E17" i="19"/>
  <c r="E18" i="19"/>
  <c r="B27" i="19"/>
  <c r="C27" i="19"/>
  <c r="D27" i="19"/>
  <c r="E27" i="19"/>
  <c r="F27" i="19"/>
  <c r="E32" i="19" s="1"/>
  <c r="G27" i="19"/>
  <c r="E29" i="19" a="1"/>
  <c r="E29" i="19" s="1"/>
  <c r="E30" i="19" a="1"/>
  <c r="E30" i="19"/>
  <c r="E31" i="19"/>
  <c r="C53" i="19"/>
  <c r="E53" i="19"/>
  <c r="G53" i="19"/>
  <c r="G79" i="19"/>
  <c r="G80" i="19"/>
  <c r="D81" i="19"/>
  <c r="E81" i="19"/>
  <c r="F81" i="19"/>
  <c r="G81" i="19"/>
  <c r="G82" i="19"/>
  <c r="G83" i="19"/>
  <c r="G85" i="19" s="1"/>
  <c r="G86" i="19" s="1"/>
  <c r="G84" i="19"/>
  <c r="D85" i="19"/>
  <c r="E85" i="19"/>
  <c r="E86" i="19" s="1"/>
  <c r="F85" i="19"/>
  <c r="D86" i="19"/>
  <c r="F86" i="19"/>
  <c r="G90" i="19"/>
  <c r="G91" i="19"/>
  <c r="D92" i="19"/>
  <c r="E92" i="19"/>
  <c r="F92" i="19"/>
  <c r="G92" i="19"/>
  <c r="G93" i="19"/>
  <c r="G96" i="19" s="1"/>
  <c r="G97" i="19" s="1"/>
  <c r="G94" i="19"/>
  <c r="G95" i="19"/>
  <c r="D96" i="19"/>
  <c r="E96" i="19"/>
  <c r="F96" i="19"/>
  <c r="F97" i="19" s="1"/>
  <c r="D97" i="19"/>
  <c r="E97" i="19"/>
  <c r="D104" i="19"/>
  <c r="E104" i="19"/>
  <c r="E16" i="19" l="1"/>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B11" i="18" l="1" a="1"/>
  <c r="B11" i="18" s="1"/>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B2" i="18"/>
  <c r="B3" i="18"/>
  <c r="B4" i="18" a="1"/>
  <c r="B4" i="18" s="1"/>
  <c r="B5" i="18" a="1"/>
  <c r="B5" i="18" s="1"/>
  <c r="B6" i="18" a="1"/>
  <c r="B6" i="18" s="1"/>
  <c r="B7" i="18" a="1"/>
  <c r="B7" i="18" s="1"/>
  <c r="B8" i="18" a="1"/>
  <c r="B8" i="18" s="1"/>
  <c r="B9" i="18" a="1"/>
  <c r="B9" i="18" s="1"/>
  <c r="B12" i="18" a="1"/>
  <c r="B12" i="18" s="1"/>
  <c r="B10" i="18" a="1"/>
  <c r="B10" i="18" s="1"/>
  <c r="B13" i="18" a="1"/>
  <c r="B13"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<sst xmlns="http://schemas.openxmlformats.org/spreadsheetml/2006/main" count="1580" uniqueCount="1398">
  <si>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</si>
  <si>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</si>
  <si>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</si>
  <si>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</si>
  <si>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</si>
  <si>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</si>
  <si>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</si>
  <si>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</si>
  <si>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</si>
  <si>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</si>
  <si>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</si>
  <si>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</si>
  <si>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</si>
  <si>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</si>
  <si>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</si>
  <si>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</si>
  <si>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</si>
  <si>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</si>
  <si>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</si>
  <si>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</si>
  <si>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</si>
  <si>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</si>
  <si>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</si>
  <si>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</si>
  <si>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</si>
  <si>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</si>
  <si>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</si>
  <si>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</si>
  <si>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</si>
  <si>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</si>
  <si>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</si>
  <si>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</si>
  <si>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</si>
  <si>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</si>
  <si>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</si>
  <si>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</si>
  <si>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</si>
  <si>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</si>
  <si>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</si>
  <si>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</si>
  <si>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</si>
  <si>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</si>
  <si>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</si>
  <si>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</si>
  <si>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</si>
  <si>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</si>
  <si>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</si>
  <si>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</si>
  <si>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</si>
  <si>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</si>
  <si>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</si>
  <si>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</si>
  <si>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</si>
  <si>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</si>
  <si>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</si>
  <si>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</si>
  <si>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</si>
  <si>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</si>
  <si>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</si>
  <si>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</si>
  <si>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</si>
  <si>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</si>
  <si>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</si>
  <si>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</si>
  <si>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</si>
  <si>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</si>
  <si>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</si>
  <si>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</si>
  <si>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</si>
  <si>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</si>
  <si>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</si>
  <si>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</si>
  <si>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</si>
  <si>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</si>
  <si>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</si>
  <si>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</si>
  <si>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</si>
  <si>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</si>
  <si>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</si>
  <si>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</si>
  <si>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</si>
  <si>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</si>
  <si>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</si>
  <si>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</si>
  <si>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</si>
  <si>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</si>
  <si>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</si>
  <si>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</si>
  <si>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</si>
  <si>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</si>
  <si>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</si>
  <si>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</si>
  <si>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</si>
  <si>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</si>
  <si>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</si>
  <si>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</si>
  <si>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</si>
  <si>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</si>
  <si>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</si>
  <si>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</si>
  <si>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</si>
  <si>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</si>
  <si>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</si>
  <si>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</si>
  <si>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</si>
  <si>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</si>
  <si>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</si>
  <si>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</si>
  <si>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</si>
  <si>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</si>
  <si>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</si>
  <si>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</si>
  <si>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</si>
  <si>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</si>
  <si>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</si>
  <si>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</si>
  <si>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</si>
  <si>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</si>
  <si>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</si>
  <si>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</si>
  <si>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</si>
  <si>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</si>
  <si>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</si>
  <si>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</si>
  <si>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</si>
  <si>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</si>
  <si>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</si>
  <si>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</si>
  <si>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</si>
  <si>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</si>
  <si>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</si>
  <si>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</si>
  <si>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</si>
  <si>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</si>
  <si>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</si>
  <si>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</si>
  <si>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</si>
  <si>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</si>
  <si>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</si>
  <si>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</si>
  <si>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</si>
  <si>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</si>
  <si>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</si>
  <si>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</si>
  <si>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</si>
  <si>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</si>
  <si>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</si>
  <si>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</si>
  <si>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</si>
  <si>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</si>
  <si>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</si>
  <si>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</si>
  <si>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</si>
  <si>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</si>
  <si>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</si>
  <si>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</si>
  <si>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</si>
  <si>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</si>
  <si>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</si>
  <si>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</si>
  <si>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</si>
  <si>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</si>
  <si>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</si>
  <si>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</si>
  <si>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</si>
  <si>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</si>
  <si>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</si>
  <si>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</si>
  <si>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</si>
  <si>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</si>
  <si>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</si>
  <si>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</si>
  <si>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</si>
  <si>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</si>
  <si>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</si>
  <si>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</si>
  <si>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</si>
  <si>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</si>
  <si>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</si>
  <si>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</si>
  <si>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</si>
  <si>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</si>
  <si>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</si>
  <si>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</si>
  <si>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</si>
  <si>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</si>
  <si>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</si>
  <si>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</si>
  <si>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</si>
  <si>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</si>
  <si>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</si>
  <si>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</si>
  <si>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</si>
  <si>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</si>
  <si>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</si>
  <si>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</si>
  <si>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</si>
  <si>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</si>
  <si>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</si>
  <si>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</si>
  <si>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</si>
  <si>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</si>
  <si>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</si>
  <si>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</si>
  <si>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</si>
  <si>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</si>
  <si>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</si>
  <si>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</si>
  <si>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</si>
  <si>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</si>
  <si>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</si>
  <si>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</si>
  <si>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</si>
  <si>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</si>
  <si>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</si>
  <si>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</si>
  <si>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</si>
  <si>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</si>
  <si>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</si>
  <si>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</si>
  <si>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</si>
  <si>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</si>
  <si>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</si>
  <si>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</si>
  <si>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</si>
  <si>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</si>
  <si>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</si>
  <si>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</si>
  <si>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</si>
  <si>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</si>
  <si>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</si>
  <si>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</si>
  <si>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</si>
  <si>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</si>
  <si>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</si>
  <si>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</si>
  <si>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</si>
  <si>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</si>
  <si>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</si>
  <si>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</si>
  <si>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</si>
  <si>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</si>
  <si>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</si>
  <si>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</si>
  <si>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</si>
  <si>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</si>
  <si>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</si>
  <si>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</si>
  <si>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</si>
  <si>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</si>
  <si>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</si>
  <si>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</si>
  <si>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</si>
  <si>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</si>
  <si>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</si>
  <si>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</si>
  <si>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</si>
  <si>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</si>
  <si>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</si>
  <si>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</si>
  <si>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</si>
  <si>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</si>
  <si>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</si>
  <si>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</si>
  <si>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</si>
  <si>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</si>
  <si>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</si>
  <si>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</si>
  <si>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</si>
  <si>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</si>
  <si>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</si>
  <si>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</si>
  <si>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</si>
  <si>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</si>
  <si>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</si>
  <si>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</si>
  <si>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</si>
  <si>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</si>
  <si>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</si>
  <si>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</si>
  <si>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</si>
  <si>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</si>
  <si>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</si>
  <si>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</si>
  <si>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</si>
  <si>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</si>
  <si>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</si>
  <si>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</si>
  <si>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</si>
  <si>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</si>
  <si>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</si>
  <si>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</si>
  <si>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</si>
  <si>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</si>
  <si>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</si>
  <si>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</si>
  <si>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</si>
  <si>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</si>
  <si>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</si>
  <si>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</si>
  <si>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</si>
  <si>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</si>
  <si>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</si>
  <si>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</si>
  <si>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</si>
  <si>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</si>
  <si>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</si>
  <si>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</si>
  <si>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</si>
  <si>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</si>
  <si>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</si>
  <si>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</si>
  <si>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</si>
  <si>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</si>
  <si>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</si>
  <si>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</si>
  <si>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</si>
  <si>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</si>
  <si>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</si>
  <si>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</si>
  <si>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</si>
  <si>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</si>
  <si>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</si>
  <si>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</si>
  <si>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</si>
  <si>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</si>
  <si>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</si>
  <si>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</si>
  <si>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</si>
  <si>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</si>
  <si>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</si>
  <si>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</si>
  <si>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</si>
  <si>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</si>
  <si>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</si>
  <si>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</si>
  <si>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</si>
  <si>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</si>
  <si>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</si>
  <si>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</si>
  <si>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</si>
  <si>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</si>
  <si>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</si>
  <si>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</si>
  <si>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</si>
  <si>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</si>
  <si>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</si>
  <si>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</si>
  <si>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</si>
  <si>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</si>
  <si>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</si>
  <si>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</si>
  <si>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</si>
  <si>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</si>
  <si>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</si>
  <si>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</si>
  <si>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</si>
  <si>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</si>
  <si>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</si>
  <si>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</si>
  <si>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</si>
  <si>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</si>
  <si>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</si>
  <si>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</si>
  <si>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</si>
  <si>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</si>
  <si>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</si>
  <si>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</si>
  <si>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</si>
  <si>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</si>
  <si>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</si>
  <si>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</si>
  <si>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</si>
  <si>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</si>
  <si>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</si>
  <si>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</si>
  <si>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</si>
  <si>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</si>
  <si>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</si>
  <si>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</si>
  <si>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</si>
  <si>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</si>
  <si>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</si>
  <si>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</si>
  <si>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</si>
  <si>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</si>
  <si>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</si>
  <si>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</si>
  <si>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</si>
  <si>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</si>
  <si>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</si>
  <si>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</si>
  <si>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</si>
  <si>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</si>
  <si>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</si>
  <si>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</si>
  <si>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</si>
  <si>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</si>
  <si>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</si>
  <si>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</si>
  <si>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</si>
  <si>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</si>
  <si>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</si>
  <si>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</si>
  <si>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</si>
  <si>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</si>
  <si>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</si>
  <si>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</si>
  <si>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</si>
  <si>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</si>
  <si>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</si>
  <si>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</si>
  <si>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</si>
  <si>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</si>
  <si>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</si>
  <si>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</si>
  <si>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</si>
  <si>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</si>
  <si>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</si>
  <si>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</si>
  <si>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</si>
  <si>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</si>
  <si>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</si>
  <si>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</si>
  <si>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</si>
  <si>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</si>
  <si>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</si>
  <si>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</si>
  <si>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</si>
  <si>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</si>
  <si>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</si>
  <si>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</si>
  <si>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</si>
  <si>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</si>
  <si>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</si>
  <si>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</si>
  <si>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</si>
  <si>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</si>
  <si>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</si>
  <si>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</si>
  <si>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</si>
  <si>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</si>
  <si>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</si>
  <si>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</si>
  <si>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</si>
  <si>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</si>
  <si>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</si>
  <si>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</si>
  <si>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</si>
  <si>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</si>
  <si>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</si>
  <si>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</si>
  <si>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</si>
  <si>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</si>
  <si>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</si>
  <si>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</si>
  <si>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</si>
  <si>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</si>
  <si>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</si>
  <si>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</si>
  <si>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</si>
  <si>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</si>
  <si>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</si>
  <si>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</si>
  <si>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</si>
  <si>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</si>
  <si>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</si>
  <si>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</si>
  <si>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</si>
  <si>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</si>
  <si>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</si>
  <si>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</si>
  <si>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</si>
  <si>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</si>
  <si>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</si>
  <si>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</si>
  <si>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</si>
  <si>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</si>
  <si>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</si>
  <si>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</si>
  <si>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</si>
  <si>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</si>
  <si>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</si>
  <si>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</si>
  <si>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</si>
  <si>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</si>
  <si>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</si>
  <si>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</si>
  <si>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</si>
  <si>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</si>
  <si>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</si>
  <si>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</si>
  <si>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</si>
  <si>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</si>
  <si>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</si>
  <si>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</si>
  <si>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</si>
  <si>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</si>
  <si>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</si>
  <si>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</si>
  <si>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</si>
  <si>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</si>
  <si>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</si>
  <si>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</si>
  <si>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</si>
  <si>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</si>
  <si>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</si>
  <si>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</si>
  <si>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</si>
  <si>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</si>
  <si>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</si>
  <si>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</si>
  <si>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</si>
  <si>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</si>
  <si>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</si>
  <si>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</si>
  <si>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</si>
  <si>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</si>
  <si>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</si>
  <si>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</si>
  <si>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</si>
  <si>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</si>
  <si>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</si>
  <si>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</si>
  <si>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</si>
  <si>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</si>
  <si>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</si>
  <si>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</si>
  <si>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</si>
  <si>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</si>
  <si>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</si>
  <si>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</si>
  <si>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</si>
  <si>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</si>
  <si>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</si>
  <si>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</si>
  <si>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</si>
  <si>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</si>
  <si>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</si>
  <si>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</si>
  <si>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</si>
  <si>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</si>
  <si>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</si>
  <si>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</si>
  <si>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</si>
  <si>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</si>
  <si>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</si>
  <si>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</si>
  <si>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</si>
  <si>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</si>
  <si>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</si>
  <si>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</si>
  <si>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</si>
  <si>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</si>
  <si>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</si>
  <si>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</si>
  <si>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</si>
  <si>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</si>
  <si>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</si>
  <si>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</si>
  <si>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</si>
  <si>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</si>
  <si>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</si>
  <si>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</si>
  <si>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</si>
  <si>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</si>
  <si>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</si>
  <si>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</si>
  <si>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</si>
  <si>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</si>
  <si>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</si>
  <si>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</si>
  <si>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</si>
  <si>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</si>
  <si>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</si>
  <si>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</si>
  <si>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</si>
  <si>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</si>
  <si>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</si>
  <si>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</si>
  <si>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</si>
  <si>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</si>
  <si>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</si>
  <si>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</si>
  <si>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</si>
  <si>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</si>
  <si>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</si>
  <si>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</si>
  <si>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</si>
  <si>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</si>
  <si>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</si>
  <si>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</si>
  <si>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</si>
  <si>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</si>
  <si>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</si>
  <si>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</si>
  <si>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</si>
  <si>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</si>
  <si>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</si>
  <si>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</si>
  <si>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</si>
  <si>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</si>
  <si>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</si>
  <si>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</si>
  <si>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</si>
  <si>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</si>
  <si>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</si>
  <si>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</si>
  <si>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</si>
  <si>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</si>
  <si>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</si>
  <si>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</si>
  <si>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</si>
  <si>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</si>
  <si>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</si>
  <si>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</si>
  <si>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</si>
  <si>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</si>
  <si>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</si>
  <si>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</si>
  <si>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</si>
  <si>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</si>
  <si>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</si>
  <si>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</si>
  <si>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</si>
  <si>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</si>
  <si>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</si>
  <si>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</si>
  <si>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</si>
  <si>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</si>
  <si>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</si>
  <si>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</si>
  <si>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</si>
  <si>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</si>
  <si>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</si>
  <si>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</si>
  <si>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</si>
  <si>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</si>
  <si>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</si>
  <si>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</si>
  <si>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</si>
  <si>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</si>
  <si>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</si>
  <si>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</si>
  <si>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</si>
  <si>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</si>
  <si>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</si>
  <si>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</si>
  <si>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</si>
  <si>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</si>
  <si>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</si>
  <si>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</si>
  <si>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</si>
  <si>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</si>
  <si>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</si>
  <si>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</si>
  <si>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</si>
  <si>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</si>
  <si>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</si>
  <si>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</si>
  <si>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</si>
  <si>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</si>
  <si>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</si>
  <si>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</si>
  <si>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</si>
  <si>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</si>
  <si>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</si>
  <si>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</si>
  <si>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</si>
  <si>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</si>
  <si>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</si>
  <si>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</si>
  <si>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</si>
  <si>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</si>
  <si>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</si>
  <si>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</si>
  <si>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</si>
  <si>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</si>
  <si>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</si>
  <si>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</si>
  <si>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</si>
  <si>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</si>
  <si>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</si>
  <si>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</si>
  <si>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</si>
  <si>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</si>
  <si>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</si>
  <si>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</si>
  <si>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</si>
  <si>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</si>
  <si>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</si>
  <si>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</si>
  <si>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</si>
  <si>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</si>
  <si>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</si>
  <si>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</si>
  <si>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</si>
  <si>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</si>
  <si>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</si>
  <si>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</si>
  <si>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</si>
  <si>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</si>
  <si>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</si>
  <si>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</si>
  <si>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</si>
  <si>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</si>
  <si>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</si>
  <si>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</si>
  <si>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</si>
  <si>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</si>
  <si>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</si>
  <si>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</si>
  <si>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</si>
  <si>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</si>
  <si>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</si>
  <si>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</si>
  <si>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</si>
  <si>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</si>
  <si>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</si>
  <si>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</si>
  <si>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</si>
  <si>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</si>
  <si>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</si>
  <si>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</si>
  <si>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</si>
  <si>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</si>
  <si>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</si>
  <si>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</si>
  <si>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</si>
  <si>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</si>
  <si>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</si>
  <si>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</si>
  <si>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</si>
  <si>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</si>
  <si>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</si>
  <si>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</si>
  <si>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</si>
  <si>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</si>
  <si>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</si>
  <si>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</si>
  <si>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</si>
  <si>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</si>
  <si>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</si>
  <si>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</si>
  <si>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</si>
  <si>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</si>
  <si>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</si>
  <si>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</si>
  <si>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</si>
  <si>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</si>
  <si>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</si>
  <si>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</si>
  <si>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</si>
  <si>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</si>
  <si>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</si>
  <si>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</si>
  <si>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</si>
  <si>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</si>
  <si>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</si>
  <si>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</si>
  <si>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</si>
  <si>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</si>
  <si>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</si>
  <si>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</si>
  <si>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</si>
  <si>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</si>
  <si>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</si>
  <si>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</si>
  <si>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</si>
  <si>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</si>
  <si>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</si>
  <si>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</si>
  <si>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</si>
  <si>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</si>
  <si>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</si>
  <si>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</si>
  <si>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</si>
  <si>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</si>
  <si>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</si>
  <si>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</si>
  <si>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</si>
  <si>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</si>
  <si>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</si>
  <si>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</si>
  <si>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</si>
  <si>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</si>
  <si>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</si>
  <si>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</si>
  <si>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</si>
  <si>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</si>
  <si>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</si>
  <si>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</si>
  <si>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</si>
  <si>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</si>
  <si>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</si>
  <si>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</si>
  <si>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</si>
  <si>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</si>
  <si>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</si>
  <si>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</si>
  <si>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</si>
  <si>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</si>
  <si>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</si>
  <si>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</si>
  <si>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</si>
  <si>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</si>
  <si>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</si>
  <si>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</si>
  <si>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</si>
  <si>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</si>
  <si>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</si>
  <si>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</si>
  <si>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</si>
  <si>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</si>
  <si>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</si>
  <si>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</si>
  <si>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</si>
  <si>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</si>
  <si>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</si>
  <si>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</si>
  <si>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</si>
  <si>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</si>
  <si>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</si>
  <si>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</si>
  <si>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</si>
  <si>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</si>
  <si>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</si>
  <si>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</si>
  <si>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</si>
  <si>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</si>
  <si>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</si>
  <si>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</si>
  <si>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</si>
  <si>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</si>
  <si>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</si>
  <si>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</si>
  <si>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</si>
  <si>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</si>
  <si>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</si>
  <si>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</si>
  <si>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</si>
  <si>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</si>
  <si>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</si>
  <si>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</si>
  <si>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</si>
  <si>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</si>
  <si>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</si>
  <si>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</si>
  <si>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</si>
  <si>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</si>
  <si>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</si>
  <si>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</si>
  <si>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</si>
  <si>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</si>
  <si>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</si>
  <si>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</si>
  <si>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</si>
  <si>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</si>
  <si>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</si>
  <si>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</si>
  <si>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</si>
  <si>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</si>
  <si>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</si>
  <si>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</si>
  <si>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</si>
  <si>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</si>
  <si>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</si>
  <si>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</si>
  <si>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</si>
  <si>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</si>
  <si>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</si>
  <si>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</si>
  <si>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</si>
  <si>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</si>
  <si>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</si>
  <si>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</si>
  <si>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</si>
  <si>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</si>
  <si>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</si>
  <si>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</si>
  <si>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</si>
  <si>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</si>
  <si>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</si>
  <si>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</si>
  <si>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</si>
  <si>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</si>
  <si>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</si>
  <si>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</si>
  <si>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</si>
  <si>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</si>
  <si>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</si>
  <si>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</si>
  <si>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</si>
  <si>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</si>
  <si>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</si>
  <si>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</si>
  <si>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</si>
  <si>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</si>
  <si>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</si>
  <si>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</si>
  <si>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</si>
  <si>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</si>
  <si>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</si>
  <si>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</si>
  <si>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</si>
  <si>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</si>
  <si>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</si>
  <si>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</si>
  <si>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</si>
  <si>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</si>
  <si>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</si>
  <si>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</si>
  <si>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</si>
  <si>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</si>
  <si>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</si>
  <si>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</si>
  <si>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</si>
  <si>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</si>
  <si>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</si>
  <si>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</si>
  <si>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</si>
  <si>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</si>
  <si>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</si>
  <si>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</si>
  <si>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</si>
  <si>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</si>
  <si>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</si>
  <si>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</si>
  <si>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</si>
  <si>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</si>
  <si>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</si>
  <si>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</si>
  <si>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</si>
  <si>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</si>
  <si>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</si>
  <si>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</si>
  <si>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</si>
  <si>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</si>
  <si>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</si>
  <si>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</si>
  <si>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</si>
  <si>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</si>
  <si>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</si>
  <si>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</si>
  <si>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</si>
  <si>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</si>
  <si>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</si>
  <si>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</si>
  <si>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</si>
  <si>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</si>
  <si>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</si>
  <si>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</si>
  <si>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</si>
  <si>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</si>
  <si>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</si>
  <si>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</si>
  <si>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</si>
  <si>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</si>
  <si>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</si>
  <si>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</si>
  <si>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</si>
  <si>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</si>
  <si>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</si>
  <si>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</si>
  <si>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</si>
  <si>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</si>
  <si>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</si>
  <si>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</si>
  <si>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</si>
  <si>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</si>
  <si>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</si>
  <si>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</si>
  <si>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</si>
  <si>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</si>
  <si>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</si>
  <si>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</si>
  <si>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</si>
  <si>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</si>
  <si>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</si>
  <si>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</si>
  <si>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</si>
  <si>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</si>
  <si>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</si>
  <si>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</si>
  <si>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</si>
  <si>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</si>
  <si>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</si>
  <si>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</si>
  <si>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</si>
  <si>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</si>
  <si>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</si>
  <si>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</si>
  <si>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</si>
  <si>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</si>
  <si>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</si>
  <si>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</si>
  <si>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</si>
  <si>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</si>
  <si>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</si>
  <si>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</si>
  <si>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</si>
  <si>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</si>
  <si>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</si>
  <si>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</si>
  <si>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</si>
  <si>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</si>
  <si>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</si>
  <si>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</si>
  <si>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</si>
  <si>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</si>
  <si>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</si>
  <si>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</si>
  <si>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</si>
  <si>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</si>
  <si>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</si>
  <si>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</si>
  <si>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</si>
  <si>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</si>
  <si>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</si>
  <si>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</si>
  <si>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</si>
  <si>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</si>
  <si>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</si>
  <si>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</si>
  <si>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</si>
  <si>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</si>
  <si>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</si>
  <si>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</si>
  <si>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</si>
  <si>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</si>
  <si>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</si>
  <si>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</si>
  <si>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</si>
  <si>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</si>
  <si>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</si>
  <si>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</si>
  <si>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</si>
  <si>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</si>
  <si>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</si>
  <si>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</si>
  <si>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</si>
  <si>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</si>
  <si>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</si>
  <si>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</si>
  <si>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</si>
  <si>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</si>
  <si>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</si>
  <si>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</si>
  <si>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</si>
  <si>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</si>
  <si>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</si>
  <si>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</si>
  <si>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</si>
  <si>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</si>
  <si>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</si>
  <si>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</si>
  <si>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</si>
  <si>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</si>
  <si>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</si>
  <si>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</si>
  <si>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</si>
  <si>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</si>
  <si>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</si>
  <si>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</si>
  <si>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</si>
  <si>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</si>
  <si>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</si>
  <si>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</si>
  <si>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</si>
  <si>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</si>
  <si>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</si>
  <si>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</si>
  <si>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</si>
  <si>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</si>
  <si>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</si>
  <si>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</si>
  <si>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</si>
  <si>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</si>
  <si>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</si>
  <si>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</si>
  <si>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</si>
  <si>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</si>
  <si>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</si>
  <si>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</si>
  <si>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</si>
  <si>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</si>
  <si>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</si>
  <si>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</si>
  <si>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</si>
  <si>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</si>
  <si>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</si>
  <si>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</si>
  <si>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</si>
  <si>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</si>
  <si>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</si>
  <si>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</si>
  <si>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</si>
  <si>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</si>
  <si>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</si>
  <si>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</si>
  <si>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</si>
  <si>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</si>
  <si>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</si>
  <si>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</si>
  <si>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</si>
  <si>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</si>
  <si>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</si>
  <si>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</si>
  <si>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</si>
  <si>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</si>
  <si>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</si>
  <si>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</si>
  <si>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</si>
  <si>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</si>
  <si>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</si>
  <si>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</si>
  <si>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</si>
  <si>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</si>
  <si>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</si>
  <si>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</si>
  <si>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</si>
  <si>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</si>
  <si>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</si>
  <si>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</si>
  <si>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</si>
  <si>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</si>
  <si>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</si>
  <si>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</si>
  <si>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</si>
  <si>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</si>
  <si>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</si>
  <si>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</si>
  <si>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</si>
  <si>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</si>
  <si>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</si>
  <si>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</si>
  <si>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</si>
  <si>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</si>
  <si>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</si>
  <si>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</si>
  <si>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</si>
  <si>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</si>
  <si>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</si>
  <si>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</si>
  <si>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</si>
  <si>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</si>
  <si>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</si>
  <si>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</si>
  <si>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</si>
  <si>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</si>
  <si>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</si>
  <si>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</si>
  <si>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</si>
  <si>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</si>
  <si>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</si>
  <si>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</si>
  <si>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</si>
  <si>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</si>
  <si>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</si>
  <si>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</si>
  <si>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</si>
  <si>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</si>
  <si>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</si>
  <si>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</si>
  <si>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</si>
  <si>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</si>
  <si>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</si>
  <si>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</si>
  <si>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</si>
  <si>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</si>
  <si>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</si>
  <si>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</si>
  <si>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</si>
  <si>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</si>
  <si>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</si>
  <si>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</si>
  <si>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</si>
  <si>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</si>
  <si>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</si>
  <si>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</si>
  <si>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</si>
  <si>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</si>
  <si>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</si>
  <si>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</si>
  <si>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</si>
  <si>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</si>
  <si>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</si>
  <si>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</si>
  <si>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</si>
  <si>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</si>
  <si>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</si>
  <si>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</si>
  <si>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</si>
  <si>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</si>
  <si>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</si>
  <si>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</si>
  <si>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</si>
  <si>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</si>
  <si>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</si>
  <si>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</si>
  <si>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</si>
  <si>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</si>
  <si>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</si>
  <si>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</si>
  <si>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</si>
  <si>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</si>
  <si>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</si>
  <si>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</si>
  <si>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</si>
  <si>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</si>
  <si>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</si>
  <si>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</si>
  <si>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</si>
  <si>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</si>
  <si>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</si>
  <si>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</si>
  <si>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</si>
  <si>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</si>
  <si>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</si>
  <si>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</si>
  <si>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</si>
  <si>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</si>
  <si>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</si>
  <si>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</si>
  <si>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</si>
  <si>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</si>
  <si>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</si>
  <si>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</si>
  <si>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</si>
  <si>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</si>
  <si>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</si>
  <si>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</si>
  <si>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</si>
  <si>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</si>
  <si>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</si>
  <si>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</si>
  <si>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</si>
  <si>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</si>
  <si>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</si>
  <si>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</si>
  <si>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</si>
  <si>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</si>
  <si>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</si>
  <si>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</si>
  <si>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</si>
  <si>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</si>
  <si>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</si>
  <si>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</si>
  <si>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</si>
  <si>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</si>
  <si>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</si>
  <si>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</si>
  <si>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</si>
  <si>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</si>
  <si>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</si>
  <si>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</si>
  <si>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</si>
  <si>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</si>
  <si>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</si>
  <si>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</si>
  <si>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</si>
  <si>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</si>
  <si>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</si>
  <si>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</si>
  <si>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</si>
  <si>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</si>
  <si>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</si>
  <si>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</si>
  <si>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</si>
  <si>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</si>
  <si>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</si>
  <si>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</si>
  <si>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</si>
  <si>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</si>
  <si>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</si>
  <si>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</si>
  <si>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</si>
  <si>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</si>
  <si>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</si>
  <si>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</si>
  <si>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</si>
  <si>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</si>
  <si>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</si>
  <si>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</si>
  <si>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</si>
  <si>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</si>
  <si>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</si>
  <si>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</si>
  <si>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</si>
  <si>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</si>
  <si>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</si>
  <si>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</si>
  <si>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</si>
  <si>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</si>
  <si>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</si>
  <si>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</si>
  <si>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</si>
  <si>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</si>
  <si>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</si>
  <si>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</si>
  <si>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</si>
  <si>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</si>
  <si>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</si>
  <si>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</si>
  <si>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</si>
  <si>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</si>
  <si>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</si>
  <si>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</si>
  <si>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</si>
  <si>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</si>
  <si>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</si>
  <si>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</si>
  <si>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</si>
  <si>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</si>
  <si>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</si>
  <si>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</si>
  <si>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</si>
  <si>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</si>
  <si>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</si>
  <si>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</si>
  <si>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</si>
  <si>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</si>
  <si>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</si>
  <si>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</si>
  <si>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</si>
  <si>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</si>
  <si>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</si>
  <si>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</si>
  <si>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</si>
  <si>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</si>
  <si>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</si>
  <si>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</si>
  <si>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</si>
  <si>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</si>
  <si>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</si>
  <si>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</si>
  <si>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</si>
  <si>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</si>
  <si>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</si>
  <si>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</si>
  <si>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</si>
  <si>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</si>
  <si>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</si>
  <si>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</si>
  <si>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</si>
  <si>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</si>
  <si>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</si>
  <si>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</si>
  <si>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</si>
  <si>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</si>
  <si>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</si>
  <si>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</si>
  <si>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</si>
  <si>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</si>
  <si>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</si>
  <si>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</si>
  <si>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</si>
  <si>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</si>
  <si>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</si>
  <si>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</si>
  <si>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</si>
  <si>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</si>
  <si>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</si>
  <si>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</si>
  <si>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Christopher</t>
  </si>
  <si>
    <t>Harris</t>
  </si>
  <si>
    <t>Deputy Associate Chancellor</t>
  </si>
  <si>
    <t>Strategic Communications and Marketing</t>
  </si>
  <si>
    <t>Suite 313, 507 E. Green</t>
  </si>
  <si>
    <t>Champaign</t>
  </si>
  <si>
    <t>217-333-5010</t>
  </si>
  <si>
    <t>csharris@illinois.edu</t>
  </si>
  <si>
    <t>https://dmi.illinois.edu/</t>
  </si>
  <si>
    <t>University of Illinois at Urbana-Champaign</t>
  </si>
  <si>
    <t>601 East John St.</t>
  </si>
  <si>
    <t>https://illinois.edu</t>
  </si>
  <si>
    <t>901 West Illinois St.</t>
  </si>
  <si>
    <t>Urbana</t>
  </si>
  <si>
    <t>61801-3028</t>
  </si>
  <si>
    <t>http://admissions.illinois.edu/contact_us.aspx</t>
  </si>
  <si>
    <t xml:space="preserve">admissions@illinois.edu </t>
  </si>
  <si>
    <t>https://www.admissions.illinois.edu/apply</t>
  </si>
  <si>
    <t>x</t>
  </si>
  <si>
    <t>https://diversity.illinois.edu/</t>
  </si>
  <si>
    <t>1 year or 2 years for U.S. military</t>
  </si>
  <si>
    <t>$50/$75</t>
  </si>
  <si>
    <t>test optional</t>
  </si>
  <si>
    <t>We admit by major. Fit to major and competitiveness of the applicant pool are factors. There are varied levels of importance placed on some of the above factors based on major.</t>
  </si>
  <si>
    <t>Selective admission for all students</t>
  </si>
  <si>
    <t xml:space="preserve">28,989	</t>
  </si>
  <si>
    <t>Requirements vary by program</t>
  </si>
  <si>
    <t>D-</t>
  </si>
  <si>
    <t>https://www.admissions.illinois.edu/policies</t>
  </si>
  <si>
    <t>https://secure.osfa.illinois.edu/NPC/NPC.asp</t>
  </si>
  <si>
    <t>XXXXX</t>
  </si>
  <si>
    <t>RISE App</t>
  </si>
  <si>
    <t>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t>
  </si>
  <si>
    <t>Revised: 7/30/2024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</si>
</sst>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2">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sz val="10"/>
      <color indexed="8"/>
      <name val="Arial"/>
      <family val="2"/>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5"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07">
    <xf numFmtId="0" fontId="0" fillId="0" borderId="0" xfId="0"/>
    <xf numFmtId="0" fontId="0" fillId="0" borderId="1" xfId="0" applyBorder="1" applyProtection="1">
      <protection locked="0"/>
    </xf>
    <xf numFmtId="0" fontId="0" fillId="0" borderId="0" xfId="0" applyProtection="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0" fontId="37"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49" fontId="0" fillId="0" borderId="0" xfId="0" applyNumberFormat="1" applyProtection="1">
      <protection locked="0"/>
    </xf>
    <xf numFmtId="0" fontId="3" fillId="0" borderId="0" xfId="0" applyFont="1" applyProtection="1">
      <protection locked="0"/>
    </xf>
    <xf numFmtId="0" fontId="4" fillId="0" borderId="0" xfId="0" applyFont="1" applyProtection="1">
      <protection locked="0"/>
    </xf>
    <xf numFmtId="171" fontId="9" fillId="0" borderId="1" xfId="0" applyNumberFormat="1" applyFont="1" applyBorder="1" applyAlignment="1" applyProtection="1">
      <alignment horizontal="center" vertical="center" wrapText="1"/>
      <protection locked="0"/>
    </xf>
    <xf numFmtId="171" fontId="9"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5" fillId="0" borderId="1" xfId="1" applyProtection="1">
      <protection locked="0"/>
    </xf>
    <xf numFmtId="3" fontId="0" fillId="0" borderId="0" xfId="0" applyNumberFormat="1" applyAlignment="1" applyProtection="1">
      <alignment horizontal="center"/>
      <protection locked="0"/>
    </xf>
    <xf numFmtId="0" fontId="5" fillId="0" borderId="0" xfId="1" applyBorder="1" applyAlignment="1" applyProtection="1">
      <alignment horizontal="left" vertical="top" wrapText="1"/>
      <protection locked="0"/>
    </xf>
    <xf numFmtId="171" fontId="3" fillId="3"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6" fillId="0" borderId="0" xfId="0" applyFont="1" applyProtection="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7" fillId="0" borderId="0" xfId="0" applyFont="1" applyAlignment="1" applyProtection="1">
      <alignment horizontal="right" vertical="top" wrapText="1"/>
      <protection locked="0"/>
    </xf>
    <xf numFmtId="0" fontId="7" fillId="0" borderId="0" xfId="0" applyFont="1" applyProtection="1">
      <protection locked="0"/>
    </xf>
    <xf numFmtId="0" fontId="0" fillId="0" borderId="2" xfId="0" applyBorder="1" applyProtection="1">
      <protection locked="0"/>
    </xf>
    <xf numFmtId="0" fontId="0" fillId="0" borderId="0" xfId="0" applyAlignment="1" applyProtection="1">
      <alignment wrapText="1"/>
      <protection locked="0"/>
    </xf>
    <xf numFmtId="0" fontId="15" fillId="0" borderId="0" xfId="0" applyFont="1" applyProtection="1">
      <protection locked="0"/>
    </xf>
    <xf numFmtId="0" fontId="21"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0" fontId="23" fillId="5" borderId="4" xfId="0" applyFont="1" applyFill="1" applyBorder="1" applyProtection="1">
      <protection locked="0"/>
    </xf>
    <xf numFmtId="0" fontId="9" fillId="0" borderId="1" xfId="0" applyFont="1" applyBorder="1" applyAlignment="1" applyProtection="1">
      <alignment horizontal="left" vertical="center" wrapText="1" indent="2"/>
      <protection locked="0"/>
    </xf>
    <xf numFmtId="0" fontId="22" fillId="3" borderId="1" xfId="0" applyFont="1" applyFill="1" applyBorder="1" applyAlignment="1" applyProtection="1">
      <alignment horizontal="right" vertical="center" wrapText="1"/>
      <protection locked="0"/>
    </xf>
    <xf numFmtId="171" fontId="3" fillId="0" borderId="1" xfId="0" applyNumberFormat="1" applyFont="1" applyBorder="1" applyAlignment="1" applyProtection="1">
      <alignment horizontal="center" vertical="center"/>
      <protection locked="0"/>
    </xf>
    <xf numFmtId="171" fontId="3" fillId="0" borderId="0" xfId="0" applyNumberFormat="1" applyFont="1" applyAlignment="1" applyProtection="1">
      <alignment horizontal="center" vertical="center"/>
      <protection locked="0"/>
    </xf>
    <xf numFmtId="0" fontId="22" fillId="0" borderId="0" xfId="0" applyFont="1" applyAlignment="1" applyProtection="1">
      <alignment horizontal="right" vertical="center" wrapText="1"/>
      <protection locked="0"/>
    </xf>
    <xf numFmtId="0" fontId="23" fillId="5" borderId="9" xfId="0" applyFont="1" applyFill="1" applyBorder="1" applyAlignment="1" applyProtection="1">
      <alignment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0" xfId="0" applyFont="1" applyAlignment="1" applyProtection="1">
      <alignment vertical="center" wrapText="1"/>
      <protection locked="0"/>
    </xf>
    <xf numFmtId="0" fontId="9" fillId="0" borderId="0" xfId="0" applyFont="1" applyAlignment="1" applyProtection="1">
      <alignment horizontal="center" vertical="center" wrapText="1"/>
      <protection locked="0"/>
    </xf>
    <xf numFmtId="171" fontId="9" fillId="4" borderId="1" xfId="0" applyNumberFormat="1" applyFont="1" applyFill="1" applyBorder="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9" fillId="0" borderId="0" xfId="0" applyFont="1" applyAlignment="1" applyProtection="1">
      <alignment vertical="center"/>
      <protection locked="0"/>
    </xf>
    <xf numFmtId="0" fontId="22" fillId="0" borderId="0" xfId="0" applyFont="1" applyAlignment="1" applyProtection="1">
      <alignment horizontal="left" vertical="center" wrapText="1" indent="19"/>
      <protection locked="0"/>
    </xf>
    <xf numFmtId="0" fontId="22" fillId="0" borderId="0" xfId="0" applyFont="1" applyAlignment="1" applyProtection="1">
      <alignment horizontal="center" vertical="center" wrapText="1"/>
      <protection locked="0"/>
    </xf>
    <xf numFmtId="0" fontId="9" fillId="0" borderId="0" xfId="0" applyFont="1" applyAlignment="1" applyProtection="1">
      <alignment horizontal="right" vertical="center" indent="4"/>
      <protection locked="0"/>
    </xf>
    <xf numFmtId="0" fontId="9" fillId="0" borderId="0" xfId="0" applyFont="1" applyAlignment="1" applyProtection="1">
      <alignment horizontal="right" vertical="center" wrapText="1" indent="19"/>
      <protection locked="0"/>
    </xf>
    <xf numFmtId="1" fontId="9" fillId="0" borderId="0" xfId="0" applyNumberFormat="1" applyFont="1" applyAlignment="1" applyProtection="1">
      <alignment horizontal="right" vertical="center" wrapText="1"/>
      <protection locked="0"/>
    </xf>
    <xf numFmtId="0" fontId="9" fillId="0" borderId="0" xfId="0" applyFont="1" applyAlignment="1" applyProtection="1">
      <alignment horizontal="left" vertical="center" wrapText="1" indent="19"/>
      <protection locked="0"/>
    </xf>
    <xf numFmtId="0" fontId="0" fillId="0" borderId="0" xfId="0" applyAlignment="1" applyProtection="1">
      <alignment horizontal="right"/>
      <protection locked="0"/>
    </xf>
    <xf numFmtId="0" fontId="9" fillId="0" borderId="0" xfId="0" applyFont="1" applyAlignment="1" applyProtection="1">
      <alignment horizontal="right" vertical="center" wrapText="1"/>
      <protection locked="0"/>
    </xf>
    <xf numFmtId="1" fontId="9" fillId="0" borderId="0" xfId="0" applyNumberFormat="1" applyFont="1" applyAlignment="1" applyProtection="1">
      <alignment horizontal="center" vertical="center" wrapText="1"/>
      <protection locked="0"/>
    </xf>
    <xf numFmtId="0" fontId="17" fillId="0" borderId="0" xfId="0" applyFont="1" applyAlignment="1" applyProtection="1">
      <alignment vertical="center" wrapText="1"/>
      <protection locked="0"/>
    </xf>
    <xf numFmtId="0" fontId="28" fillId="0" borderId="0" xfId="0" applyFont="1" applyAlignment="1" applyProtection="1">
      <alignment vertical="center" wrapText="1"/>
      <protection locked="0"/>
    </xf>
    <xf numFmtId="0" fontId="3"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3"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3" fillId="5" borderId="1" xfId="0" applyFont="1" applyFill="1" applyBorder="1" applyAlignment="1" applyProtection="1">
      <alignment horizontal="center" vertical="center"/>
      <protection locked="0"/>
    </xf>
    <xf numFmtId="0" fontId="3" fillId="0" borderId="0" xfId="0" applyFont="1" applyAlignment="1" applyProtection="1">
      <alignment horizontal="right"/>
      <protection locked="0"/>
    </xf>
    <xf numFmtId="0" fontId="0" fillId="0" borderId="0" xfId="0" applyAlignment="1" applyProtection="1">
      <alignment vertical="top"/>
      <protection locked="0"/>
    </xf>
    <xf numFmtId="0" fontId="29" fillId="0" borderId="0" xfId="0" applyFont="1" applyAlignment="1" applyProtection="1">
      <alignment horizontal="center" vertical="top"/>
      <protection locked="0"/>
    </xf>
    <xf numFmtId="0" fontId="3" fillId="0" borderId="0" xfId="0" applyFont="1" applyAlignment="1" applyProtection="1">
      <alignment horizontal="center"/>
      <protection locked="0"/>
    </xf>
    <xf numFmtId="0" fontId="17"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7"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7"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7" fillId="0" borderId="0" xfId="0" applyFont="1" applyAlignment="1" applyProtection="1">
      <alignment horizontal="right"/>
      <protection locked="0"/>
    </xf>
    <xf numFmtId="0" fontId="35" fillId="0" borderId="0" xfId="0" applyFont="1" applyProtection="1">
      <protection locked="0"/>
    </xf>
    <xf numFmtId="171" fontId="0" fillId="0" borderId="0" xfId="0" applyNumberFormat="1" applyAlignment="1" applyProtection="1">
      <alignment horizontal="center"/>
      <protection locked="0"/>
    </xf>
    <xf numFmtId="0" fontId="58" fillId="0" borderId="0" xfId="0" applyFont="1" applyAlignment="1" applyProtection="1">
      <alignment horizontal="left" indent="1"/>
      <protection locked="0"/>
    </xf>
    <xf numFmtId="0" fontId="7"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3"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7"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7" fillId="0" borderId="2" xfId="0" applyNumberFormat="1" applyFont="1" applyBorder="1" applyAlignment="1" applyProtection="1">
      <alignment horizontal="right"/>
      <protection locked="0"/>
    </xf>
    <xf numFmtId="0" fontId="3"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3" fillId="0" borderId="2" xfId="0" applyFont="1" applyBorder="1" applyAlignment="1" applyProtection="1">
      <alignment horizontal="right"/>
      <protection locked="0"/>
    </xf>
    <xf numFmtId="0" fontId="3" fillId="0" borderId="6" xfId="0" applyFont="1" applyBorder="1" applyAlignment="1" applyProtection="1">
      <alignment horizontal="center"/>
      <protection locked="0"/>
    </xf>
    <xf numFmtId="0" fontId="7"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7"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7" fillId="0" borderId="0" xfId="0" applyFont="1" applyAlignment="1" applyProtection="1">
      <alignment wrapText="1"/>
      <protection locked="0"/>
    </xf>
    <xf numFmtId="0" fontId="17"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8" fillId="0" borderId="0" xfId="0" applyFont="1" applyProtection="1">
      <protection locked="0"/>
    </xf>
    <xf numFmtId="0" fontId="7" fillId="0" borderId="0" xfId="0" applyFont="1" applyAlignment="1" applyProtection="1">
      <alignment horizontal="left" indent="3"/>
      <protection locked="0"/>
    </xf>
    <xf numFmtId="164" fontId="0" fillId="0" borderId="0" xfId="0" applyNumberFormat="1" applyProtection="1">
      <protection locked="0"/>
    </xf>
    <xf numFmtId="0" fontId="7" fillId="0" borderId="0" xfId="0" applyFont="1" applyAlignment="1" applyProtection="1">
      <alignment horizontal="left" indent="4"/>
      <protection locked="0"/>
    </xf>
    <xf numFmtId="0" fontId="0" fillId="0" borderId="0" xfId="0" applyAlignment="1" applyProtection="1">
      <alignment horizontal="left" indent="12"/>
      <protection locked="0"/>
    </xf>
    <xf numFmtId="0" fontId="40" fillId="0" borderId="0" xfId="0" applyFont="1" applyAlignment="1" applyProtection="1">
      <alignment vertical="center" wrapText="1"/>
      <protection locked="0"/>
    </xf>
    <xf numFmtId="0" fontId="40"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7"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3" fillId="3" borderId="0" xfId="0" applyFont="1" applyFill="1" applyProtection="1">
      <protection locked="0"/>
    </xf>
    <xf numFmtId="0" fontId="29" fillId="0" borderId="0" xfId="0" applyFont="1" applyAlignment="1" applyProtection="1">
      <alignment vertical="top" wrapText="1"/>
      <protection locked="0"/>
    </xf>
    <xf numFmtId="0" fontId="17" fillId="0" borderId="0" xfId="0" applyFont="1" applyAlignment="1" applyProtection="1">
      <alignment vertical="top"/>
      <protection locked="0"/>
    </xf>
    <xf numFmtId="0" fontId="50" fillId="0" borderId="0" xfId="0" applyFont="1" applyAlignment="1" applyProtection="1">
      <alignment vertical="top" wrapText="1"/>
      <protection locked="0"/>
    </xf>
    <xf numFmtId="0" fontId="3"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3" fillId="3" borderId="1" xfId="0" applyFont="1" applyFill="1" applyBorder="1" applyAlignment="1" applyProtection="1">
      <alignment horizontal="right" wrapText="1"/>
      <protection locked="0"/>
    </xf>
    <xf numFmtId="166" fontId="3" fillId="3" borderId="1" xfId="4"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right"/>
      <protection locked="0"/>
    </xf>
    <xf numFmtId="166" fontId="3"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9" fillId="0" borderId="0" xfId="0" applyFont="1" applyAlignment="1" applyProtection="1">
      <alignment horizontal="right"/>
      <protection locked="0"/>
    </xf>
    <xf numFmtId="0" fontId="51"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9" fillId="0" borderId="10" xfId="0" applyFont="1" applyBorder="1" applyAlignment="1" applyProtection="1">
      <alignment horizontal="right" vertical="center"/>
      <protection locked="0"/>
    </xf>
    <xf numFmtId="0" fontId="6" fillId="0" borderId="0" xfId="0" applyFont="1" applyAlignment="1" applyProtection="1">
      <alignment vertical="center"/>
      <protection locked="0"/>
    </xf>
    <xf numFmtId="49" fontId="3"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29" fillId="0" borderId="1" xfId="0" applyFont="1" applyBorder="1" applyAlignment="1" applyProtection="1">
      <alignment horizontal="center" vertical="center" wrapText="1"/>
      <protection locked="0"/>
    </xf>
    <xf numFmtId="0" fontId="31" fillId="0" borderId="1" xfId="0" applyFont="1" applyBorder="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57" fillId="0" borderId="0" xfId="0" applyFont="1" applyAlignment="1" applyProtection="1">
      <alignment vertical="center" wrapText="1"/>
      <protection locked="0"/>
    </xf>
    <xf numFmtId="0" fontId="0" fillId="0" borderId="6" xfId="0" applyBorder="1" applyAlignment="1">
      <alignment horizontal="left" vertical="top" wrapText="1"/>
    </xf>
    <xf numFmtId="170" fontId="0" fillId="0" borderId="1" xfId="0" applyNumberFormat="1" applyBorder="1" applyAlignment="1" applyProtection="1">
      <alignment horizontal="left" vertical="center" wrapText="1"/>
      <protection locked="0"/>
    </xf>
    <xf numFmtId="169" fontId="0" fillId="0" borderId="1" xfId="0" applyNumberFormat="1" applyBorder="1" applyAlignment="1" applyProtection="1">
      <alignment horizontal="left" vertical="center" wrapText="1"/>
      <protection locked="0"/>
    </xf>
    <xf numFmtId="1" fontId="0" fillId="0" borderId="1" xfId="0" applyNumberFormat="1" applyBorder="1" applyAlignment="1" applyProtection="1">
      <alignment horizontal="left" vertical="center" wrapText="1"/>
      <protection locked="0"/>
    </xf>
    <xf numFmtId="0" fontId="5" fillId="0" borderId="1" xfId="1" applyAlignment="1" applyProtection="1">
      <alignment horizontal="left" vertical="center"/>
      <protection locked="0"/>
    </xf>
    <xf numFmtId="0" fontId="5" fillId="0" borderId="1" xfId="1"/>
    <xf numFmtId="0" fontId="0" fillId="0" borderId="1" xfId="0" applyBorder="1" applyAlignment="1" applyProtection="1">
      <alignment horizontal="left"/>
      <protection locked="0"/>
    </xf>
    <xf numFmtId="0" fontId="5" fillId="0" borderId="1" xfId="1" applyAlignment="1">
      <alignment horizontal="left"/>
    </xf>
    <xf numFmtId="0" fontId="5" fillId="0" borderId="0" xfId="1" applyBorder="1" applyAlignment="1" applyProtection="1">
      <alignment horizontal="left" vertical="center"/>
      <protection locked="0"/>
    </xf>
    <xf numFmtId="0" fontId="5" fillId="0" borderId="1" xfId="1" applyAlignment="1" applyProtection="1">
      <alignment horizontal="left"/>
      <protection locked="0"/>
    </xf>
    <xf numFmtId="49" fontId="5" fillId="0" borderId="1" xfId="1" applyNumberFormat="1" applyAlignment="1" applyProtection="1">
      <alignment horizontal="left" vertical="center" wrapText="1"/>
      <protection locked="0"/>
    </xf>
    <xf numFmtId="0" fontId="5" fillId="0" borderId="0" xfId="1" applyBorder="1" applyAlignment="1" applyProtection="1">
      <alignment horizontal="left" vertical="center" wrapText="1"/>
      <protection locked="0"/>
    </xf>
    <xf numFmtId="170" fontId="0" fillId="0" borderId="1" xfId="0" applyNumberFormat="1" applyBorder="1" applyAlignment="1" applyProtection="1">
      <alignment horizontal="left" vertical="center"/>
      <protection locked="0"/>
    </xf>
    <xf numFmtId="169" fontId="0" fillId="0" borderId="1" xfId="0" applyNumberFormat="1" applyBorder="1" applyAlignment="1" applyProtection="1">
      <alignment horizontal="left" vertical="center"/>
      <protection locked="0"/>
    </xf>
    <xf numFmtId="0" fontId="5" fillId="0" borderId="0" xfId="1" applyBorder="1" applyAlignment="1" applyProtection="1">
      <alignment horizontal="left"/>
      <protection locked="0"/>
    </xf>
    <xf numFmtId="49" fontId="14" fillId="0" borderId="1" xfId="0" applyNumberFormat="1" applyFont="1" applyBorder="1" applyAlignment="1" applyProtection="1">
      <alignment horizontal="left"/>
      <protection locked="0"/>
    </xf>
    <xf numFmtId="0" fontId="15" fillId="0" borderId="1" xfId="0" applyFont="1" applyBorder="1" applyAlignment="1" applyProtection="1">
      <alignment horizontal="left"/>
      <protection locked="0"/>
    </xf>
    <xf numFmtId="0" fontId="0" fillId="0" borderId="0" xfId="0" applyAlignment="1" applyProtection="1">
      <alignment horizontal="left" wrapText="1"/>
      <protection locked="0"/>
    </xf>
    <xf numFmtId="0" fontId="15" fillId="0" borderId="0" xfId="0" applyFont="1" applyAlignment="1" applyProtection="1">
      <alignment horizontal="left"/>
      <protection locked="0"/>
    </xf>
    <xf numFmtId="171" fontId="2" fillId="0" borderId="1" xfId="0" applyNumberFormat="1" applyFont="1" applyBorder="1" applyAlignment="1" applyProtection="1">
      <alignment horizontal="center" vertical="center"/>
      <protection locked="0"/>
    </xf>
    <xf numFmtId="171" fontId="2" fillId="3" borderId="1"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166" fontId="0" fillId="0" borderId="1" xfId="4" applyNumberFormat="1" applyFont="1" applyFill="1" applyBorder="1" applyAlignment="1" applyProtection="1">
      <alignment horizontal="center" vertical="center"/>
      <protection locked="0"/>
    </xf>
    <xf numFmtId="0" fontId="6"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61" fillId="0" borderId="1" xfId="0" applyFont="1" applyBorder="1" applyAlignment="1">
      <alignment horizontal="left" vertical="top" wrapText="1"/>
    </xf>
    <xf numFmtId="0" fontId="61" fillId="0" borderId="4" xfId="0" applyFont="1" applyBorder="1" applyAlignment="1">
      <alignment horizontal="left" vertical="top" wrapText="1"/>
    </xf>
    <xf numFmtId="0" fontId="61" fillId="0" borderId="6" xfId="0" applyFont="1" applyBorder="1" applyAlignment="1">
      <alignment horizontal="left" vertical="top" wrapText="1"/>
    </xf>
    <xf numFmtId="0" fontId="4"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2" fillId="0" borderId="1"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1" fontId="9" fillId="0" borderId="0" xfId="0" applyNumberFormat="1" applyFont="1" applyAlignment="1" applyProtection="1">
      <alignment horizontal="right" vertical="center" wrapText="1"/>
      <protection locked="0"/>
    </xf>
    <xf numFmtId="1" fontId="9" fillId="0" borderId="11" xfId="0" applyNumberFormat="1" applyFont="1" applyBorder="1" applyAlignment="1" applyProtection="1">
      <alignment horizontal="right" vertical="center" wrapText="1"/>
      <protection locked="0"/>
    </xf>
    <xf numFmtId="0" fontId="33" fillId="0" borderId="1" xfId="0" applyFont="1" applyBorder="1" applyAlignment="1" applyProtection="1">
      <alignment horizontal="left" vertical="top" wrapText="1"/>
      <protection locked="0"/>
    </xf>
    <xf numFmtId="0" fontId="3" fillId="0" borderId="0" xfId="0" applyFont="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3" fillId="0" borderId="1" xfId="0" applyFont="1" applyBorder="1" applyAlignment="1" applyProtection="1">
      <alignment horizontal="right" vertical="top" wrapText="1"/>
      <protection locked="0"/>
    </xf>
    <xf numFmtId="0" fontId="7" fillId="0" borderId="0" xfId="0" applyFont="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3"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3" fillId="0" borderId="1" xfId="0" applyFont="1" applyBorder="1" applyAlignment="1" applyProtection="1">
      <alignment horizontal="right" vertical="center" wrapText="1"/>
      <protection locked="0"/>
    </xf>
    <xf numFmtId="0" fontId="6" fillId="2" borderId="0" xfId="0" applyFont="1" applyFill="1" applyAlignment="1" applyProtection="1">
      <alignment horizontal="center"/>
      <protection locked="0"/>
    </xf>
    <xf numFmtId="0" fontId="19" fillId="0" borderId="0" xfId="1" applyFont="1" applyBorder="1" applyProtection="1">
      <protection locked="0"/>
    </xf>
    <xf numFmtId="0" fontId="23" fillId="5" borderId="7"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3" fillId="3" borderId="4"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22" fillId="0" borderId="0" xfId="0" applyFont="1" applyAlignment="1" applyProtection="1">
      <alignment horizontal="left" vertical="center" wrapText="1" indent="18"/>
      <protection locked="0"/>
    </xf>
    <xf numFmtId="0" fontId="18" fillId="0" borderId="0" xfId="0" applyFont="1" applyAlignment="1" applyProtection="1">
      <alignment horizontal="center" vertical="top" wrapText="1"/>
      <protection locked="0"/>
    </xf>
    <xf numFmtId="0" fontId="17" fillId="0" borderId="0" xfId="0" applyFont="1" applyAlignment="1" applyProtection="1">
      <alignment horizontal="left" vertical="top" wrapText="1"/>
      <protection locked="0"/>
    </xf>
    <xf numFmtId="0" fontId="5" fillId="0" borderId="0" xfId="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24" fillId="0" borderId="0" xfId="2" applyFont="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9" fillId="0" borderId="0" xfId="0" applyFont="1" applyAlignment="1" applyProtection="1">
      <alignment horizontal="left" vertical="top" wrapText="1"/>
      <protection locked="0"/>
    </xf>
    <xf numFmtId="0" fontId="24" fillId="0" borderId="0" xfId="2" applyFont="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4" fillId="0" borderId="0" xfId="2"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7" fillId="0" borderId="0" xfId="0" applyFont="1" applyAlignment="1" applyProtection="1">
      <alignment horizontal="left" vertical="top" wrapText="1" indent="4"/>
      <protection locked="0"/>
    </xf>
    <xf numFmtId="0" fontId="0" fillId="0" borderId="0" xfId="0" applyAlignment="1" applyProtection="1">
      <alignment horizontal="left" vertical="top" wrapText="1" indent="4"/>
      <protection locked="0"/>
    </xf>
    <xf numFmtId="0" fontId="7" fillId="0" borderId="0" xfId="0" applyFont="1" applyAlignment="1" applyProtection="1">
      <alignment horizontal="center" vertical="center" wrapText="1"/>
      <protection locked="0"/>
    </xf>
    <xf numFmtId="0" fontId="17" fillId="0" borderId="0" xfId="0" applyFont="1" applyAlignment="1" applyProtection="1">
      <alignment vertical="top" wrapText="1"/>
      <protection locked="0"/>
    </xf>
    <xf numFmtId="0" fontId="17" fillId="0" borderId="0" xfId="0" applyFont="1" applyAlignment="1" applyProtection="1">
      <alignment horizontal="left" vertical="center" wrapText="1" indent="4"/>
      <protection locked="0"/>
    </xf>
    <xf numFmtId="0" fontId="36" fillId="0" borderId="0" xfId="0" applyFont="1" applyAlignment="1" applyProtection="1">
      <alignment horizontal="left" vertical="top" wrapText="1"/>
      <protection locked="0"/>
    </xf>
    <xf numFmtId="0" fontId="0" fillId="0" borderId="0" xfId="0" applyAlignment="1" applyProtection="1">
      <alignment horizontal="left" vertical="center" indent="4"/>
      <protection locked="0"/>
    </xf>
    <xf numFmtId="0" fontId="0" fillId="0" borderId="0" xfId="0" applyAlignment="1" applyProtection="1">
      <alignment horizontal="right"/>
      <protection locked="0"/>
    </xf>
    <xf numFmtId="0" fontId="40" fillId="0" borderId="0" xfId="0" applyFont="1" applyAlignment="1" applyProtection="1">
      <alignment horizontal="center" wrapText="1"/>
      <protection locked="0"/>
    </xf>
    <xf numFmtId="0" fontId="4" fillId="2" borderId="0" xfId="0" applyFont="1" applyFill="1" applyAlignment="1" applyProtection="1">
      <alignment horizontal="center" vertical="center"/>
      <protection locked="0"/>
    </xf>
    <xf numFmtId="0" fontId="44" fillId="0" borderId="0" xfId="0"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4" fillId="0" borderId="0" xfId="0" applyFont="1" applyAlignment="1" applyProtection="1">
      <alignment horizontal="left" vertical="top"/>
      <protection locked="0"/>
    </xf>
    <xf numFmtId="0" fontId="0" fillId="0" borderId="2" xfId="0" applyBorder="1" applyAlignment="1" applyProtection="1">
      <alignment horizontal="right"/>
      <protection locked="0"/>
    </xf>
    <xf numFmtId="0" fontId="7" fillId="0" borderId="0" xfId="0" applyFont="1" applyAlignment="1" applyProtection="1">
      <alignment horizontal="center" vertical="top" wrapText="1"/>
      <protection locked="0"/>
    </xf>
    <xf numFmtId="0" fontId="50" fillId="0" borderId="0" xfId="0" applyFont="1" applyAlignment="1" applyProtection="1">
      <alignment horizontal="left" vertical="top" wrapText="1" indent="5"/>
      <protection locked="0"/>
    </xf>
    <xf numFmtId="0" fontId="0" fillId="0" borderId="0" xfId="0" applyAlignment="1" applyProtection="1">
      <alignment horizontal="left" vertical="top" wrapText="1" indent="5"/>
      <protection locked="0"/>
    </xf>
    <xf numFmtId="0" fontId="48" fillId="0" borderId="0" xfId="0" applyFont="1" applyAlignment="1" applyProtection="1">
      <alignment horizontal="left" vertical="top" indent="5"/>
      <protection locked="0"/>
    </xf>
    <xf numFmtId="0" fontId="47" fillId="0" borderId="0" xfId="0" applyFont="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9"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0" fillId="0" borderId="0" xfId="0" applyAlignment="1" applyProtection="1">
      <alignment horizontal="left" vertical="top" indent="5"/>
      <protection locked="0"/>
    </xf>
    <xf numFmtId="0" fontId="0" fillId="0" borderId="0" xfId="0" applyAlignment="1" applyProtection="1">
      <alignment horizontal="left" indent="5"/>
      <protection locked="0"/>
    </xf>
    <xf numFmtId="0" fontId="53" fillId="0" borderId="0" xfId="0" applyFont="1" applyAlignment="1" applyProtection="1">
      <alignment horizontal="left" vertical="top"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53" fillId="0" borderId="0" xfId="0" applyFont="1" applyAlignment="1" applyProtection="1">
      <alignment horizontal="justify" vertical="center" wrapText="1"/>
      <protection locked="0"/>
    </xf>
    <xf numFmtId="0" fontId="53" fillId="0" borderId="0" xfId="0" applyFont="1" applyAlignment="1" applyProtection="1">
      <alignment horizontal="justify" vertical="center"/>
      <protection locked="0"/>
    </xf>
    <xf numFmtId="0" fontId="0" fillId="0" borderId="0" xfId="0" applyAlignment="1" applyProtection="1">
      <alignment horizontal="center" vertical="top" wrapText="1"/>
      <protection locked="0"/>
    </xf>
    <xf numFmtId="0" fontId="29" fillId="0" borderId="0" xfId="0" applyFont="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53" fillId="0" borderId="0" xfId="0" applyFont="1" applyAlignment="1" applyProtection="1">
      <alignment horizontal="left" vertical="center" wrapText="1"/>
      <protection locked="0"/>
    </xf>
    <xf numFmtId="0" fontId="55" fillId="4" borderId="0" xfId="0" applyFont="1" applyFill="1" applyAlignment="1" applyProtection="1">
      <alignment horizontal="center" vertical="center" wrapText="1"/>
      <protection locked="0"/>
    </xf>
    <xf numFmtId="0" fontId="17" fillId="0" borderId="0" xfId="0" applyFont="1" applyAlignment="1" applyProtection="1">
      <alignment horizontal="justify" vertical="center" wrapText="1"/>
      <protection locked="0"/>
    </xf>
    <xf numFmtId="0" fontId="29" fillId="0" borderId="0" xfId="0" applyFont="1" applyAlignment="1" applyProtection="1">
      <alignment horizontal="justify" vertical="center" wrapText="1"/>
      <protection locked="0"/>
    </xf>
    <xf numFmtId="0" fontId="3" fillId="0" borderId="0" xfId="0" applyFont="1" applyAlignment="1" applyProtection="1">
      <alignment horizontal="left" vertical="center" wrapText="1"/>
      <protection locked="0"/>
    </xf>
    <xf numFmtId="0" fontId="5" fillId="0" borderId="1" xfId="1" applyAlignment="1" applyProtection="1">
      <alignment horizontal="center" wrapText="1"/>
      <protection locked="0"/>
    </xf>
    <xf numFmtId="0" fontId="17" fillId="0" borderId="0" xfId="0" applyFont="1" applyAlignment="1" applyProtection="1">
      <alignment vertical="center" wrapText="1"/>
      <protection locked="0"/>
    </xf>
    <xf numFmtId="49" fontId="0" fillId="0" borderId="0" xfId="0" applyNumberFormat="1" applyAlignment="1" applyProtection="1">
      <alignment horizontal="left"/>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fmlaLink="'[2]multi select'!$AF$2" lockText="1" noThreeD="1"/>
</file>

<file path=xl/ctrlProps/ctrlProp102.xml><?xml version="1.0" encoding="utf-8"?>
<formControlPr xmlns="http://schemas.microsoft.com/office/spreadsheetml/2009/9/main" objectType="CheckBox" fmlaLink="'[2]multi select'!$AH$2" lockText="1" noThreeD="1"/>
</file>

<file path=xl/ctrlProps/ctrlProp103.xml><?xml version="1.0" encoding="utf-8"?>
<formControlPr xmlns="http://schemas.microsoft.com/office/spreadsheetml/2009/9/main" objectType="CheckBox" checked="Checked" fmlaLink="'[2]multi select'!$AH$3" lockText="1" noThreeD="1"/>
</file>

<file path=xl/ctrlProps/ctrlProp104.xml><?xml version="1.0" encoding="utf-8"?>
<formControlPr xmlns="http://schemas.microsoft.com/office/spreadsheetml/2009/9/main" objectType="CheckBox" fmlaLink="'[2]multi select'!$AH$4" lockText="1" noThreeD="1"/>
</file>

<file path=xl/ctrlProps/ctrlProp105.xml><?xml version="1.0" encoding="utf-8"?>
<formControlPr xmlns="http://schemas.microsoft.com/office/spreadsheetml/2009/9/main" objectType="CheckBox" fmlaLink="'[2]multi select'!$AJ$2" lockText="1" noThreeD="1"/>
</file>

<file path=xl/ctrlProps/ctrlProp106.xml><?xml version="1.0" encoding="utf-8"?>
<formControlPr xmlns="http://schemas.microsoft.com/office/spreadsheetml/2009/9/main" objectType="CheckBox" fmlaLink="'[2]multi select'!$AJ$3" lockText="1" noThreeD="1"/>
</file>

<file path=xl/ctrlProps/ctrlProp107.xml><?xml version="1.0" encoding="utf-8"?>
<formControlPr xmlns="http://schemas.microsoft.com/office/spreadsheetml/2009/9/main" objectType="CheckBox" checked="Checked" fmlaLink="'[2]multi select'!$AJ$4" lockText="1" noThreeD="1"/>
</file>

<file path=xl/ctrlProps/ctrlProp108.xml><?xml version="1.0" encoding="utf-8"?>
<formControlPr xmlns="http://schemas.microsoft.com/office/spreadsheetml/2009/9/main" objectType="CheckBox" checked="Checked" fmlaLink="'[2]multi select'!$AL$2" lockText="1" noThreeD="1"/>
</file>

<file path=xl/ctrlProps/ctrlProp109.xml><?xml version="1.0" encoding="utf-8"?>
<formControlPr xmlns="http://schemas.microsoft.com/office/spreadsheetml/2009/9/main" objectType="CheckBox" fmlaLink="'[2]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2]multi select'!$AL$4" lockText="1" noThreeD="1"/>
</file>

<file path=xl/ctrlProps/ctrlProp111.xml><?xml version="1.0" encoding="utf-8"?>
<formControlPr xmlns="http://schemas.microsoft.com/office/spreadsheetml/2009/9/main" objectType="CheckBox" fmlaLink="'[2]multi select'!$AL$5" lockText="1" noThreeD="1"/>
</file>

<file path=xl/ctrlProps/ctrlProp112.xml><?xml version="1.0" encoding="utf-8"?>
<formControlPr xmlns="http://schemas.microsoft.com/office/spreadsheetml/2009/9/main" objectType="CheckBox" checked="Checked" fmlaLink="'[2]multi select'!$AL$7" lockText="1" noThreeD="1"/>
</file>

<file path=xl/ctrlProps/ctrlProp113.xml><?xml version="1.0" encoding="utf-8"?>
<formControlPr xmlns="http://schemas.microsoft.com/office/spreadsheetml/2009/9/main" objectType="CheckBox" fmlaLink="'[2]multi select'!$AL$6" lockText="1" noThreeD="1"/>
</file>

<file path=xl/ctrlProps/ctrlProp114.xml><?xml version="1.0" encoding="utf-8"?>
<formControlPr xmlns="http://schemas.microsoft.com/office/spreadsheetml/2009/9/main" objectType="CheckBox" checked="Checked" fmlaLink="'[2]multi select'!$AN$2" lockText="1" noThreeD="1"/>
</file>

<file path=xl/ctrlProps/ctrlProp115.xml><?xml version="1.0" encoding="utf-8"?>
<formControlPr xmlns="http://schemas.microsoft.com/office/spreadsheetml/2009/9/main" objectType="CheckBox" checked="Checked" fmlaLink="'[2]multi select'!$AN$3" lockText="1" noThreeD="1"/>
</file>

<file path=xl/ctrlProps/ctrlProp116.xml><?xml version="1.0" encoding="utf-8"?>
<formControlPr xmlns="http://schemas.microsoft.com/office/spreadsheetml/2009/9/main" objectType="CheckBox" checked="Checked" fmlaLink="'[2]multi select'!$AN$4" lockText="1" noThreeD="1"/>
</file>

<file path=xl/ctrlProps/ctrlProp117.xml><?xml version="1.0" encoding="utf-8"?>
<formControlPr xmlns="http://schemas.microsoft.com/office/spreadsheetml/2009/9/main" objectType="CheckBox" fmlaLink="'[2]multi select'!$AN$5" lockText="1" noThreeD="1"/>
</file>

<file path=xl/ctrlProps/ctrlProp118.xml><?xml version="1.0" encoding="utf-8"?>
<formControlPr xmlns="http://schemas.microsoft.com/office/spreadsheetml/2009/9/main" objectType="CheckBox" fmlaLink="'[2]multi select'!$AN$6" lockText="1" noThreeD="1"/>
</file>

<file path=xl/ctrlProps/ctrlProp119.xml><?xml version="1.0" encoding="utf-8"?>
<formControlPr xmlns="http://schemas.microsoft.com/office/spreadsheetml/2009/9/main" objectType="CheckBox" fmlaLink="'[2]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checked="Checked" fmlaLink="'[2]multi select'!$AN$8" lockText="1" noThreeD="1"/>
</file>

<file path=xl/ctrlProps/ctrlProp121.xml><?xml version="1.0" encoding="utf-8"?>
<formControlPr xmlns="http://schemas.microsoft.com/office/spreadsheetml/2009/9/main" objectType="CheckBox" fmlaLink="'[2]multi select'!$AN$9" lockText="1" noThreeD="1"/>
</file>

<file path=xl/ctrlProps/ctrlProp122.xml><?xml version="1.0" encoding="utf-8"?>
<formControlPr xmlns="http://schemas.microsoft.com/office/spreadsheetml/2009/9/main" objectType="CheckBox" checked="Checked" fmlaLink="'[2]multi select'!$AP$2" lockText="1" noThreeD="1"/>
</file>

<file path=xl/ctrlProps/ctrlProp123.xml><?xml version="1.0" encoding="utf-8"?>
<formControlPr xmlns="http://schemas.microsoft.com/office/spreadsheetml/2009/9/main" objectType="CheckBox" checked="Checked" fmlaLink="'[2]multi select'!$AP$3" lockText="1" noThreeD="1"/>
</file>

<file path=xl/ctrlProps/ctrlProp124.xml><?xml version="1.0" encoding="utf-8"?>
<formControlPr xmlns="http://schemas.microsoft.com/office/spreadsheetml/2009/9/main" objectType="CheckBox" checked="Checked" fmlaLink="'[2]multi select'!$AP$4" lockText="1" noThreeD="1"/>
</file>

<file path=xl/ctrlProps/ctrlProp125.xml><?xml version="1.0" encoding="utf-8"?>
<formControlPr xmlns="http://schemas.microsoft.com/office/spreadsheetml/2009/9/main" objectType="CheckBox" checked="Checked" fmlaLink="'[2]multi select'!$AP$5" lockText="1" noThreeD="1"/>
</file>

<file path=xl/ctrlProps/ctrlProp126.xml><?xml version="1.0" encoding="utf-8"?>
<formControlPr xmlns="http://schemas.microsoft.com/office/spreadsheetml/2009/9/main" objectType="CheckBox" checked="Checked" fmlaLink="'[2]multi select'!$AP$6" lockText="1" noThreeD="1"/>
</file>

<file path=xl/ctrlProps/ctrlProp127.xml><?xml version="1.0" encoding="utf-8"?>
<formControlPr xmlns="http://schemas.microsoft.com/office/spreadsheetml/2009/9/main" objectType="CheckBox" checked="Checked" fmlaLink="'[2]multi select'!$AP$7" lockText="1" noThreeD="1"/>
</file>

<file path=xl/ctrlProps/ctrlProp128.xml><?xml version="1.0" encoding="utf-8"?>
<formControlPr xmlns="http://schemas.microsoft.com/office/spreadsheetml/2009/9/main" objectType="CheckBox" fmlaLink="'[2]multi select'!$AP$8" lockText="1" noThreeD="1"/>
</file>

<file path=xl/ctrlProps/ctrlProp129.xml><?xml version="1.0" encoding="utf-8"?>
<formControlPr xmlns="http://schemas.microsoft.com/office/spreadsheetml/2009/9/main" objectType="CheckBox" fmlaLink="'[2]multi select'!$AP$9" lockText="1" noThreeD="1"/>
</file>

<file path=xl/ctrlProps/ctrlProp13.xml><?xml version="1.0" encoding="utf-8"?>
<formControlPr xmlns="http://schemas.microsoft.com/office/spreadsheetml/2009/9/main" objectType="CheckBox" checked="Checked" fmlaLink="'[1]multi select'!$E$2" lockText="1" noThreeD="1"/>
</file>

<file path=xl/ctrlProps/ctrlProp130.xml><?xml version="1.0" encoding="utf-8"?>
<formControlPr xmlns="http://schemas.microsoft.com/office/spreadsheetml/2009/9/main" objectType="CheckBox" checked="Checked" fmlaLink="'[2]multi select'!$AR$2" lockText="1" noThreeD="1"/>
</file>

<file path=xl/ctrlProps/ctrlProp131.xml><?xml version="1.0" encoding="utf-8"?>
<formControlPr xmlns="http://schemas.microsoft.com/office/spreadsheetml/2009/9/main" objectType="CheckBox" checked="Checked" fmlaLink="'[2]multi select'!$AR$3" lockText="1" noThreeD="1"/>
</file>

<file path=xl/ctrlProps/ctrlProp132.xml><?xml version="1.0" encoding="utf-8"?>
<formControlPr xmlns="http://schemas.microsoft.com/office/spreadsheetml/2009/9/main" objectType="CheckBox" checked="Checked" fmlaLink="'[2]multi select'!$AR$4" lockText="1" noThreeD="1"/>
</file>

<file path=xl/ctrlProps/ctrlProp133.xml><?xml version="1.0" encoding="utf-8"?>
<formControlPr xmlns="http://schemas.microsoft.com/office/spreadsheetml/2009/9/main" objectType="CheckBox" checked="Checked" fmlaLink="'[2]multi select'!$AR$5" lockText="1" noThreeD="1"/>
</file>

<file path=xl/ctrlProps/ctrlProp134.xml><?xml version="1.0" encoding="utf-8"?>
<formControlPr xmlns="http://schemas.microsoft.com/office/spreadsheetml/2009/9/main" objectType="CheckBox" fmlaLink="'[2]multi select'!$AR$6" lockText="1" noThreeD="1"/>
</file>

<file path=xl/ctrlProps/ctrlProp135.xml><?xml version="1.0" encoding="utf-8"?>
<formControlPr xmlns="http://schemas.microsoft.com/office/spreadsheetml/2009/9/main" objectType="CheckBox" checked="Checked" fmlaLink="'[2]multi select'!$AR$7" lockText="1" noThreeD="1"/>
</file>

<file path=xl/ctrlProps/ctrlProp136.xml><?xml version="1.0" encoding="utf-8"?>
<formControlPr xmlns="http://schemas.microsoft.com/office/spreadsheetml/2009/9/main" objectType="CheckBox" checked="Checked" fmlaLink="'[2]multi select'!$AR$8" lockText="1" noThreeD="1"/>
</file>

<file path=xl/ctrlProps/ctrlProp137.xml><?xml version="1.0" encoding="utf-8"?>
<formControlPr xmlns="http://schemas.microsoft.com/office/spreadsheetml/2009/9/main" objectType="CheckBox" checked="Checked" fmlaLink="'[2]multi select'!$AR$9" lockText="1" noThreeD="1"/>
</file>

<file path=xl/ctrlProps/ctrlProp138.xml><?xml version="1.0" encoding="utf-8"?>
<formControlPr xmlns="http://schemas.microsoft.com/office/spreadsheetml/2009/9/main" objectType="CheckBox" checked="Checked" fmlaLink="'[2]multi select'!$AR$10" lockText="1" noThreeD="1"/>
</file>

<file path=xl/ctrlProps/ctrlProp139.xml><?xml version="1.0" encoding="utf-8"?>
<formControlPr xmlns="http://schemas.microsoft.com/office/spreadsheetml/2009/9/main" objectType="CheckBox" fmlaLink="'[2]multi select'!$AR$11" lockText="1" noThreeD="1"/>
</file>

<file path=xl/ctrlProps/ctrlProp14.xml><?xml version="1.0" encoding="utf-8"?>
<formControlPr xmlns="http://schemas.microsoft.com/office/spreadsheetml/2009/9/main" objectType="CheckBox" checked="Checked" fmlaLink="'[1]multi select'!$E$3" lockText="1" noThreeD="1"/>
</file>

<file path=xl/ctrlProps/ctrlProp140.xml><?xml version="1.0" encoding="utf-8"?>
<formControlPr xmlns="http://schemas.microsoft.com/office/spreadsheetml/2009/9/main" objectType="CheckBox" checked="Checked" fmlaLink="'[2]multi select'!$AR$12" lockText="1" noThreeD="1"/>
</file>

<file path=xl/ctrlProps/ctrlProp141.xml><?xml version="1.0" encoding="utf-8"?>
<formControlPr xmlns="http://schemas.microsoft.com/office/spreadsheetml/2009/9/main" objectType="CheckBox" checked="Checked" fmlaLink="'[2]multi select'!$AT$2" lockText="1" noThreeD="1"/>
</file>

<file path=xl/ctrlProps/ctrlProp142.xml><?xml version="1.0" encoding="utf-8"?>
<formControlPr xmlns="http://schemas.microsoft.com/office/spreadsheetml/2009/9/main" objectType="CheckBox" fmlaLink="'[2]multi select'!$AT$3" lockText="1" noThreeD="1"/>
</file>

<file path=xl/ctrlProps/ctrlProp143.xml><?xml version="1.0" encoding="utf-8"?>
<formControlPr xmlns="http://schemas.microsoft.com/office/spreadsheetml/2009/9/main" objectType="CheckBox" checked="Checked" fmlaLink="'[2]multi select'!$AT$4" lockText="1" noThreeD="1"/>
</file>

<file path=xl/ctrlProps/ctrlProp144.xml><?xml version="1.0" encoding="utf-8"?>
<formControlPr xmlns="http://schemas.microsoft.com/office/spreadsheetml/2009/9/main" objectType="CheckBox" checked="Checked" fmlaLink="'[2]multi select'!$AT$5" lockText="1" noThreeD="1"/>
</file>

<file path=xl/ctrlProps/ctrlProp145.xml><?xml version="1.0" encoding="utf-8"?>
<formControlPr xmlns="http://schemas.microsoft.com/office/spreadsheetml/2009/9/main" objectType="CheckBox" fmlaLink="'[2]multi select'!$AT$6" lockText="1" noThreeD="1"/>
</file>

<file path=xl/ctrlProps/ctrlProp146.xml><?xml version="1.0" encoding="utf-8"?>
<formControlPr xmlns="http://schemas.microsoft.com/office/spreadsheetml/2009/9/main" objectType="CheckBox" fmlaLink="'[2]multi select'!$AT$7" lockText="1" noThreeD="1"/>
</file>

<file path=xl/ctrlProps/ctrlProp147.xml><?xml version="1.0" encoding="utf-8"?>
<formControlPr xmlns="http://schemas.microsoft.com/office/spreadsheetml/2009/9/main" objectType="CheckBox" checked="Checked" fmlaLink="'[2]multi select'!$AT$8" lockText="1" noThreeD="1"/>
</file>

<file path=xl/ctrlProps/ctrlProp148.xml><?xml version="1.0" encoding="utf-8"?>
<formControlPr xmlns="http://schemas.microsoft.com/office/spreadsheetml/2009/9/main" objectType="CheckBox" fmlaLink="'[2]multi select'!$AT$11" lockText="1" noThreeD="1"/>
</file>

<file path=xl/ctrlProps/ctrlProp149.xml><?xml version="1.0" encoding="utf-8"?>
<formControlPr xmlns="http://schemas.microsoft.com/office/spreadsheetml/2009/9/main" objectType="CheckBox" checked="Checked" fmlaLink="'[2]multi select'!$AT$12" lockText="1" noThreeD="1"/>
</file>

<file path=xl/ctrlProps/ctrlProp15.xml><?xml version="1.0" encoding="utf-8"?>
<formControlPr xmlns="http://schemas.microsoft.com/office/spreadsheetml/2009/9/main" objectType="CheckBox" checked="Checked" fmlaLink="'[1]multi select'!$E$4" lockText="1" noThreeD="1"/>
</file>

<file path=xl/ctrlProps/ctrlProp150.xml><?xml version="1.0" encoding="utf-8"?>
<formControlPr xmlns="http://schemas.microsoft.com/office/spreadsheetml/2009/9/main" objectType="CheckBox" checked="Checked" fmlaLink="'[2]multi select'!$AT$9" lockText="1" noThreeD="1"/>
</file>

<file path=xl/ctrlProps/ctrlProp151.xml><?xml version="1.0" encoding="utf-8"?>
<formControlPr xmlns="http://schemas.microsoft.com/office/spreadsheetml/2009/9/main" objectType="CheckBox" checked="Checked" fmlaLink="'[2]multi select'!$AT$10" lockText="1" noThreeD="1"/>
</file>

<file path=xl/ctrlProps/ctrlProp16.xml><?xml version="1.0" encoding="utf-8"?>
<formControlPr xmlns="http://schemas.microsoft.com/office/spreadsheetml/2009/9/main" objectType="CheckBox" fmlaLink="'[1]multi select'!$E$5" lockText="1" noThreeD="1"/>
</file>

<file path=xl/ctrlProps/ctrlProp17.xml><?xml version="1.0" encoding="utf-8"?>
<formControlPr xmlns="http://schemas.microsoft.com/office/spreadsheetml/2009/9/main" objectType="CheckBox" checked="Checked" fmlaLink="'[1]multi select'!$E$6" lockText="1" noThreeD="1"/>
</file>

<file path=xl/ctrlProps/ctrlProp18.xml><?xml version="1.0" encoding="utf-8"?>
<formControlPr xmlns="http://schemas.microsoft.com/office/spreadsheetml/2009/9/main" objectType="CheckBox" fmlaLink="'[1]multi select'!$E$7" lockText="1" noThreeD="1"/>
</file>

<file path=xl/ctrlProps/ctrlProp19.xml><?xml version="1.0" encoding="utf-8"?>
<formControlPr xmlns="http://schemas.microsoft.com/office/spreadsheetml/2009/9/main" objectType="CheckBox" fmlaLink="'[1]multi select'!$J$2" lockText="1" noThreeD="1"/>
</file>

<file path=xl/ctrlProps/ctrlProp2.xml><?xml version="1.0" encoding="utf-8"?>
<formControlPr xmlns="http://schemas.microsoft.com/office/spreadsheetml/2009/9/main" objectType="CheckBox" checked="Checked" fmlaLink="'multi select'!$A$3" lockText="1" noThreeD="1"/>
</file>

<file path=xl/ctrlProps/ctrlProp20.xml><?xml version="1.0" encoding="utf-8"?>
<formControlPr xmlns="http://schemas.microsoft.com/office/spreadsheetml/2009/9/main" objectType="CheckBox" fmlaLink="'[1]multi select'!$J$3" lockText="1" noThreeD="1"/>
</file>

<file path=xl/ctrlProps/ctrlProp21.xml><?xml version="1.0" encoding="utf-8"?>
<formControlPr xmlns="http://schemas.microsoft.com/office/spreadsheetml/2009/9/main" objectType="CheckBox" fmlaLink="'[1]multi select'!$J$4" lockText="1" noThreeD="1"/>
</file>

<file path=xl/ctrlProps/ctrlProp22.xml><?xml version="1.0" encoding="utf-8"?>
<formControlPr xmlns="http://schemas.microsoft.com/office/spreadsheetml/2009/9/main" objectType="CheckBox" fmlaLink="'[1]multi select'!$J$5" lockText="1" noThreeD="1"/>
</file>

<file path=xl/ctrlProps/ctrlProp23.xml><?xml version="1.0" encoding="utf-8"?>
<formControlPr xmlns="http://schemas.microsoft.com/office/spreadsheetml/2009/9/main" objectType="CheckBox" checked="Checked" fmlaLink="'[1]multi select'!$L$2" lockText="1" noThreeD="1"/>
</file>

<file path=xl/ctrlProps/ctrlProp24.xml><?xml version="1.0" encoding="utf-8"?>
<formControlPr xmlns="http://schemas.microsoft.com/office/spreadsheetml/2009/9/main" objectType="CheckBox" fmlaLink="'[1]multi select'!$L$4" lockText="1" noThreeD="1"/>
</file>

<file path=xl/ctrlProps/ctrlProp25.xml><?xml version="1.0" encoding="utf-8"?>
<formControlPr xmlns="http://schemas.microsoft.com/office/spreadsheetml/2009/9/main" objectType="CheckBox" fmlaLink="'[1]multi select'!$L$3" lockText="1" noThreeD="1"/>
</file>

<file path=xl/ctrlProps/ctrlProp26.xml><?xml version="1.0" encoding="utf-8"?>
<formControlPr xmlns="http://schemas.microsoft.com/office/spreadsheetml/2009/9/main" objectType="CheckBox" checked="Checked" fmlaLink="'[1]multi select'!$H$2" lockText="1" noThreeD="1"/>
</file>

<file path=xl/ctrlProps/ctrlProp27.xml><?xml version="1.0" encoding="utf-8"?>
<formControlPr xmlns="http://schemas.microsoft.com/office/spreadsheetml/2009/9/main" objectType="CheckBox" fmlaLink="'[1]multi select'!$H$3" lockText="1" noThreeD="1"/>
</file>

<file path=xl/ctrlProps/ctrlProp28.xml><?xml version="1.0" encoding="utf-8"?>
<formControlPr xmlns="http://schemas.microsoft.com/office/spreadsheetml/2009/9/main" objectType="CheckBox" checked="Checked" fmlaLink="'[1]multi select'!$H$4" lockText="1" noThreeD="1"/>
</file>

<file path=xl/ctrlProps/ctrlProp29.xml><?xml version="1.0" encoding="utf-8"?>
<formControlPr xmlns="http://schemas.microsoft.com/office/spreadsheetml/2009/9/main" objectType="CheckBox" checked="Checked" fmlaLink="'[1]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checked="Checked"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checked="Checked"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checked="Checked"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checked="Checked"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checked="Checked"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checked="Checked"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0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0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0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0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0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0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0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0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0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0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0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0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200-000002000000}"/>
            </a:ext>
          </a:extLst>
        </xdr:cNvPr>
        <xdr:cNvSpPr/>
      </xdr:nvSpPr>
      <xdr:spPr>
        <a:xfrm>
          <a:off x="2090420" y="40506650"/>
          <a:ext cx="365760" cy="300355"/>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200-000001A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200-000002A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200-000003A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200-000004A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200-000005A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200-000006A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41985" name="Check Box 1" descr="Fall Rolling Admission" hidden="1">
              <a:extLst>
                <a:ext uri="{63B3BB69-23CF-44E3-9099-C40C66FF867C}">
                  <a14:compatExt spid="_x0000_s41985"/>
                </a:ext>
                <a:ext uri="{FF2B5EF4-FFF2-40B4-BE49-F238E27FC236}">
                  <a16:creationId xmlns:a16="http://schemas.microsoft.com/office/drawing/2014/main" id="{00000000-0008-0000-0300-000001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41986" name="Check Box 2" descr="Winter Rolling Admission" hidden="1">
              <a:extLst>
                <a:ext uri="{63B3BB69-23CF-44E3-9099-C40C66FF867C}">
                  <a14:compatExt spid="_x0000_s41986"/>
                </a:ext>
                <a:ext uri="{FF2B5EF4-FFF2-40B4-BE49-F238E27FC236}">
                  <a16:creationId xmlns:a16="http://schemas.microsoft.com/office/drawing/2014/main" id="{00000000-0008-0000-0300-000002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41987" name="Check Box 3" descr="Fall Rolling Admission" hidden="1">
              <a:extLst>
                <a:ext uri="{63B3BB69-23CF-44E3-9099-C40C66FF867C}">
                  <a14:compatExt spid="_x0000_s41987"/>
                </a:ext>
                <a:ext uri="{FF2B5EF4-FFF2-40B4-BE49-F238E27FC236}">
                  <a16:creationId xmlns:a16="http://schemas.microsoft.com/office/drawing/2014/main" id="{00000000-0008-0000-03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41988" name="Check Box 4" descr="Fall Rolling Admission" hidden="1">
              <a:extLst>
                <a:ext uri="{63B3BB69-23CF-44E3-9099-C40C66FF867C}">
                  <a14:compatExt spid="_x0000_s41988"/>
                </a:ext>
                <a:ext uri="{FF2B5EF4-FFF2-40B4-BE49-F238E27FC236}">
                  <a16:creationId xmlns:a16="http://schemas.microsoft.com/office/drawing/2014/main" id="{00000000-0008-0000-0300-000004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03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0300-000006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0300-000007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0300-000008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0300-000009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0300-00000A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41995" name="Check Box 11" hidden="1">
              <a:extLst>
                <a:ext uri="{63B3BB69-23CF-44E3-9099-C40C66FF867C}">
                  <a14:compatExt spid="_x0000_s41995"/>
                </a:ext>
                <a:ext uri="{FF2B5EF4-FFF2-40B4-BE49-F238E27FC236}">
                  <a16:creationId xmlns:a16="http://schemas.microsoft.com/office/drawing/2014/main" id="{00000000-0008-0000-0300-00000B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4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5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5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5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5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5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5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5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5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5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5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5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5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5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5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5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5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5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5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5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5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5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5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5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5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5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5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5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5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5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5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5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5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6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07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07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07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07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07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0700-00000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00000000-0008-0000-0700-00000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0700-00000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700-00000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00000000-0008-0000-0700-00000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44043" name="Check Box 11" hidden="1">
              <a:extLst>
                <a:ext uri="{63B3BB69-23CF-44E3-9099-C40C66FF867C}">
                  <a14:compatExt spid="_x0000_s44043"/>
                </a:ext>
                <a:ext uri="{FF2B5EF4-FFF2-40B4-BE49-F238E27FC236}">
                  <a16:creationId xmlns:a16="http://schemas.microsoft.com/office/drawing/2014/main" id="{00000000-0008-0000-0700-00000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44044" name="Check Box 12" hidden="1">
              <a:extLst>
                <a:ext uri="{63B3BB69-23CF-44E3-9099-C40C66FF867C}">
                  <a14:compatExt spid="_x0000_s44044"/>
                </a:ext>
                <a:ext uri="{FF2B5EF4-FFF2-40B4-BE49-F238E27FC236}">
                  <a16:creationId xmlns:a16="http://schemas.microsoft.com/office/drawing/2014/main" id="{00000000-0008-0000-0700-00000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44045" name="Check Box 13" hidden="1">
              <a:extLst>
                <a:ext uri="{63B3BB69-23CF-44E3-9099-C40C66FF867C}">
                  <a14:compatExt spid="_x0000_s44045"/>
                </a:ext>
                <a:ext uri="{FF2B5EF4-FFF2-40B4-BE49-F238E27FC236}">
                  <a16:creationId xmlns:a16="http://schemas.microsoft.com/office/drawing/2014/main" id="{00000000-0008-0000-0700-00000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44046" name="Check Box 14" hidden="1">
              <a:extLst>
                <a:ext uri="{63B3BB69-23CF-44E3-9099-C40C66FF867C}">
                  <a14:compatExt spid="_x0000_s44046"/>
                </a:ext>
                <a:ext uri="{FF2B5EF4-FFF2-40B4-BE49-F238E27FC236}">
                  <a16:creationId xmlns:a16="http://schemas.microsoft.com/office/drawing/2014/main" id="{00000000-0008-0000-0700-00000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44047" name="Check Box 15" hidden="1">
              <a:extLst>
                <a:ext uri="{63B3BB69-23CF-44E3-9099-C40C66FF867C}">
                  <a14:compatExt spid="_x0000_s44047"/>
                </a:ext>
                <a:ext uri="{FF2B5EF4-FFF2-40B4-BE49-F238E27FC236}">
                  <a16:creationId xmlns:a16="http://schemas.microsoft.com/office/drawing/2014/main" id="{00000000-0008-0000-0700-00000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44048" name="Check Box 16" hidden="1">
              <a:extLst>
                <a:ext uri="{63B3BB69-23CF-44E3-9099-C40C66FF867C}">
                  <a14:compatExt spid="_x0000_s44048"/>
                </a:ext>
                <a:ext uri="{FF2B5EF4-FFF2-40B4-BE49-F238E27FC236}">
                  <a16:creationId xmlns:a16="http://schemas.microsoft.com/office/drawing/2014/main" id="{00000000-0008-0000-0700-00001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44049" name="Check Box 17" hidden="1">
              <a:extLst>
                <a:ext uri="{63B3BB69-23CF-44E3-9099-C40C66FF867C}">
                  <a14:compatExt spid="_x0000_s44049"/>
                </a:ext>
                <a:ext uri="{FF2B5EF4-FFF2-40B4-BE49-F238E27FC236}">
                  <a16:creationId xmlns:a16="http://schemas.microsoft.com/office/drawing/2014/main" id="{00000000-0008-0000-0700-00001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44050" name="Check Box 18" hidden="1">
              <a:extLst>
                <a:ext uri="{63B3BB69-23CF-44E3-9099-C40C66FF867C}">
                  <a14:compatExt spid="_x0000_s44050"/>
                </a:ext>
                <a:ext uri="{FF2B5EF4-FFF2-40B4-BE49-F238E27FC236}">
                  <a16:creationId xmlns:a16="http://schemas.microsoft.com/office/drawing/2014/main" id="{00000000-0008-0000-0700-00001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44051" name="Check Box 19" hidden="1">
              <a:extLst>
                <a:ext uri="{63B3BB69-23CF-44E3-9099-C40C66FF867C}">
                  <a14:compatExt spid="_x0000_s44051"/>
                </a:ext>
                <a:ext uri="{FF2B5EF4-FFF2-40B4-BE49-F238E27FC236}">
                  <a16:creationId xmlns:a16="http://schemas.microsoft.com/office/drawing/2014/main" id="{00000000-0008-0000-0700-00001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44052" name="Check Box 20" hidden="1">
              <a:extLst>
                <a:ext uri="{63B3BB69-23CF-44E3-9099-C40C66FF867C}">
                  <a14:compatExt spid="_x0000_s44052"/>
                </a:ext>
                <a:ext uri="{FF2B5EF4-FFF2-40B4-BE49-F238E27FC236}">
                  <a16:creationId xmlns:a16="http://schemas.microsoft.com/office/drawing/2014/main" id="{00000000-0008-0000-0700-00001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44053" name="Check Box 21" hidden="1">
              <a:extLst>
                <a:ext uri="{63B3BB69-23CF-44E3-9099-C40C66FF867C}">
                  <a14:compatExt spid="_x0000_s44053"/>
                </a:ext>
                <a:ext uri="{FF2B5EF4-FFF2-40B4-BE49-F238E27FC236}">
                  <a16:creationId xmlns:a16="http://schemas.microsoft.com/office/drawing/2014/main" id="{00000000-0008-0000-0700-00001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44054" name="Check Box 22" hidden="1">
              <a:extLst>
                <a:ext uri="{63B3BB69-23CF-44E3-9099-C40C66FF867C}">
                  <a14:compatExt spid="_x0000_s44054"/>
                </a:ext>
                <a:ext uri="{FF2B5EF4-FFF2-40B4-BE49-F238E27FC236}">
                  <a16:creationId xmlns:a16="http://schemas.microsoft.com/office/drawing/2014/main" id="{00000000-0008-0000-0700-00001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44055" name="Check Box 23" hidden="1">
              <a:extLst>
                <a:ext uri="{63B3BB69-23CF-44E3-9099-C40C66FF867C}">
                  <a14:compatExt spid="_x0000_s44055"/>
                </a:ext>
                <a:ext uri="{FF2B5EF4-FFF2-40B4-BE49-F238E27FC236}">
                  <a16:creationId xmlns:a16="http://schemas.microsoft.com/office/drawing/2014/main" id="{00000000-0008-0000-0700-00001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44056" name="Check Box 24" hidden="1">
              <a:extLst>
                <a:ext uri="{63B3BB69-23CF-44E3-9099-C40C66FF867C}">
                  <a14:compatExt spid="_x0000_s44056"/>
                </a:ext>
                <a:ext uri="{FF2B5EF4-FFF2-40B4-BE49-F238E27FC236}">
                  <a16:creationId xmlns:a16="http://schemas.microsoft.com/office/drawing/2014/main" id="{00000000-0008-0000-0700-00001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44057" name="Check Box 25" hidden="1">
              <a:extLst>
                <a:ext uri="{63B3BB69-23CF-44E3-9099-C40C66FF867C}">
                  <a14:compatExt spid="_x0000_s44057"/>
                </a:ext>
                <a:ext uri="{FF2B5EF4-FFF2-40B4-BE49-F238E27FC236}">
                  <a16:creationId xmlns:a16="http://schemas.microsoft.com/office/drawing/2014/main" id="{00000000-0008-0000-0700-00001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44058" name="Check Box 26" hidden="1">
              <a:extLst>
                <a:ext uri="{63B3BB69-23CF-44E3-9099-C40C66FF867C}">
                  <a14:compatExt spid="_x0000_s44058"/>
                </a:ext>
                <a:ext uri="{FF2B5EF4-FFF2-40B4-BE49-F238E27FC236}">
                  <a16:creationId xmlns:a16="http://schemas.microsoft.com/office/drawing/2014/main" id="{00000000-0008-0000-0700-00001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44059" name="Check Box 27" hidden="1">
              <a:extLst>
                <a:ext uri="{63B3BB69-23CF-44E3-9099-C40C66FF867C}">
                  <a14:compatExt spid="_x0000_s44059"/>
                </a:ext>
                <a:ext uri="{FF2B5EF4-FFF2-40B4-BE49-F238E27FC236}">
                  <a16:creationId xmlns:a16="http://schemas.microsoft.com/office/drawing/2014/main" id="{00000000-0008-0000-0700-00001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44060" name="Check Box 28" hidden="1">
              <a:extLst>
                <a:ext uri="{63B3BB69-23CF-44E3-9099-C40C66FF867C}">
                  <a14:compatExt spid="_x0000_s44060"/>
                </a:ext>
                <a:ext uri="{FF2B5EF4-FFF2-40B4-BE49-F238E27FC236}">
                  <a16:creationId xmlns:a16="http://schemas.microsoft.com/office/drawing/2014/main" id="{00000000-0008-0000-0700-00001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44061" name="Check Box 29" hidden="1">
              <a:extLst>
                <a:ext uri="{63B3BB69-23CF-44E3-9099-C40C66FF867C}">
                  <a14:compatExt spid="_x0000_s44061"/>
                </a:ext>
                <a:ext uri="{FF2B5EF4-FFF2-40B4-BE49-F238E27FC236}">
                  <a16:creationId xmlns:a16="http://schemas.microsoft.com/office/drawing/2014/main" id="{00000000-0008-0000-0700-00001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44062" name="Check Box 30" hidden="1">
              <a:extLst>
                <a:ext uri="{63B3BB69-23CF-44E3-9099-C40C66FF867C}">
                  <a14:compatExt spid="_x0000_s44062"/>
                </a:ext>
                <a:ext uri="{FF2B5EF4-FFF2-40B4-BE49-F238E27FC236}">
                  <a16:creationId xmlns:a16="http://schemas.microsoft.com/office/drawing/2014/main" id="{00000000-0008-0000-0700-00001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44063" name="Check Box 31" hidden="1">
              <a:extLst>
                <a:ext uri="{63B3BB69-23CF-44E3-9099-C40C66FF867C}">
                  <a14:compatExt spid="_x0000_s44063"/>
                </a:ext>
                <a:ext uri="{FF2B5EF4-FFF2-40B4-BE49-F238E27FC236}">
                  <a16:creationId xmlns:a16="http://schemas.microsoft.com/office/drawing/2014/main" id="{00000000-0008-0000-0700-00001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44064" name="Check Box 32" hidden="1">
              <a:extLst>
                <a:ext uri="{63B3BB69-23CF-44E3-9099-C40C66FF867C}">
                  <a14:compatExt spid="_x0000_s44064"/>
                </a:ext>
                <a:ext uri="{FF2B5EF4-FFF2-40B4-BE49-F238E27FC236}">
                  <a16:creationId xmlns:a16="http://schemas.microsoft.com/office/drawing/2014/main" id="{00000000-0008-0000-0700-00002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44065" name="Check Box 33" hidden="1">
              <a:extLst>
                <a:ext uri="{63B3BB69-23CF-44E3-9099-C40C66FF867C}">
                  <a14:compatExt spid="_x0000_s44065"/>
                </a:ext>
                <a:ext uri="{FF2B5EF4-FFF2-40B4-BE49-F238E27FC236}">
                  <a16:creationId xmlns:a16="http://schemas.microsoft.com/office/drawing/2014/main" id="{00000000-0008-0000-0700-00002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44066" name="Check Box 34" hidden="1">
              <a:extLst>
                <a:ext uri="{63B3BB69-23CF-44E3-9099-C40C66FF867C}">
                  <a14:compatExt spid="_x0000_s44066"/>
                </a:ext>
                <a:ext uri="{FF2B5EF4-FFF2-40B4-BE49-F238E27FC236}">
                  <a16:creationId xmlns:a16="http://schemas.microsoft.com/office/drawing/2014/main" id="{00000000-0008-0000-0700-00002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44067" name="Check Box 35" hidden="1">
              <a:extLst>
                <a:ext uri="{63B3BB69-23CF-44E3-9099-C40C66FF867C}">
                  <a14:compatExt spid="_x0000_s44067"/>
                </a:ext>
                <a:ext uri="{FF2B5EF4-FFF2-40B4-BE49-F238E27FC236}">
                  <a16:creationId xmlns:a16="http://schemas.microsoft.com/office/drawing/2014/main" id="{00000000-0008-0000-0700-00002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44068" name="Check Box 36" hidden="1">
              <a:extLst>
                <a:ext uri="{63B3BB69-23CF-44E3-9099-C40C66FF867C}">
                  <a14:compatExt spid="_x0000_s44068"/>
                </a:ext>
                <a:ext uri="{FF2B5EF4-FFF2-40B4-BE49-F238E27FC236}">
                  <a16:creationId xmlns:a16="http://schemas.microsoft.com/office/drawing/2014/main" id="{00000000-0008-0000-0700-00002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44069" name="Check Box 37" hidden="1">
              <a:extLst>
                <a:ext uri="{63B3BB69-23CF-44E3-9099-C40C66FF867C}">
                  <a14:compatExt spid="_x0000_s44069"/>
                </a:ext>
                <a:ext uri="{FF2B5EF4-FFF2-40B4-BE49-F238E27FC236}">
                  <a16:creationId xmlns:a16="http://schemas.microsoft.com/office/drawing/2014/main" id="{00000000-0008-0000-0700-00002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44070" name="Check Box 38" hidden="1">
              <a:extLst>
                <a:ext uri="{63B3BB69-23CF-44E3-9099-C40C66FF867C}">
                  <a14:compatExt spid="_x0000_s44070"/>
                </a:ext>
                <a:ext uri="{FF2B5EF4-FFF2-40B4-BE49-F238E27FC236}">
                  <a16:creationId xmlns:a16="http://schemas.microsoft.com/office/drawing/2014/main" id="{00000000-0008-0000-0700-00002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44071" name="Check Box 39" hidden="1">
              <a:extLst>
                <a:ext uri="{63B3BB69-23CF-44E3-9099-C40C66FF867C}">
                  <a14:compatExt spid="_x0000_s44071"/>
                </a:ext>
                <a:ext uri="{FF2B5EF4-FFF2-40B4-BE49-F238E27FC236}">
                  <a16:creationId xmlns:a16="http://schemas.microsoft.com/office/drawing/2014/main" id="{00000000-0008-0000-0700-00002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44072" name="Check Box 40" hidden="1">
              <a:extLst>
                <a:ext uri="{63B3BB69-23CF-44E3-9099-C40C66FF867C}">
                  <a14:compatExt spid="_x0000_s44072"/>
                </a:ext>
                <a:ext uri="{FF2B5EF4-FFF2-40B4-BE49-F238E27FC236}">
                  <a16:creationId xmlns:a16="http://schemas.microsoft.com/office/drawing/2014/main" id="{00000000-0008-0000-0700-00002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44073" name="Check Box 41" hidden="1">
              <a:extLst>
                <a:ext uri="{63B3BB69-23CF-44E3-9099-C40C66FF867C}">
                  <a14:compatExt spid="_x0000_s44073"/>
                </a:ext>
                <a:ext uri="{FF2B5EF4-FFF2-40B4-BE49-F238E27FC236}">
                  <a16:creationId xmlns:a16="http://schemas.microsoft.com/office/drawing/2014/main" id="{00000000-0008-0000-0700-00002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44074" name="Check Box 42" hidden="1">
              <a:extLst>
                <a:ext uri="{63B3BB69-23CF-44E3-9099-C40C66FF867C}">
                  <a14:compatExt spid="_x0000_s44074"/>
                </a:ext>
                <a:ext uri="{FF2B5EF4-FFF2-40B4-BE49-F238E27FC236}">
                  <a16:creationId xmlns:a16="http://schemas.microsoft.com/office/drawing/2014/main" id="{00000000-0008-0000-0700-00002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44075" name="Check Box 43" hidden="1">
              <a:extLst>
                <a:ext uri="{63B3BB69-23CF-44E3-9099-C40C66FF867C}">
                  <a14:compatExt spid="_x0000_s44075"/>
                </a:ext>
                <a:ext uri="{FF2B5EF4-FFF2-40B4-BE49-F238E27FC236}">
                  <a16:creationId xmlns:a16="http://schemas.microsoft.com/office/drawing/2014/main" id="{00000000-0008-0000-0700-00002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44076" name="Check Box 44" hidden="1">
              <a:extLst>
                <a:ext uri="{63B3BB69-23CF-44E3-9099-C40C66FF867C}">
                  <a14:compatExt spid="_x0000_s44076"/>
                </a:ext>
                <a:ext uri="{FF2B5EF4-FFF2-40B4-BE49-F238E27FC236}">
                  <a16:creationId xmlns:a16="http://schemas.microsoft.com/office/drawing/2014/main" id="{00000000-0008-0000-0700-00002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44077" name="Check Box 45" hidden="1">
              <a:extLst>
                <a:ext uri="{63B3BB69-23CF-44E3-9099-C40C66FF867C}">
                  <a14:compatExt spid="_x0000_s44077"/>
                </a:ext>
                <a:ext uri="{FF2B5EF4-FFF2-40B4-BE49-F238E27FC236}">
                  <a16:creationId xmlns:a16="http://schemas.microsoft.com/office/drawing/2014/main" id="{00000000-0008-0000-0700-00002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44078" name="Check Box 46" hidden="1">
              <a:extLst>
                <a:ext uri="{63B3BB69-23CF-44E3-9099-C40C66FF867C}">
                  <a14:compatExt spid="_x0000_s44078"/>
                </a:ext>
                <a:ext uri="{FF2B5EF4-FFF2-40B4-BE49-F238E27FC236}">
                  <a16:creationId xmlns:a16="http://schemas.microsoft.com/office/drawing/2014/main" id="{00000000-0008-0000-0700-00002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44079" name="Check Box 47" hidden="1">
              <a:extLst>
                <a:ext uri="{63B3BB69-23CF-44E3-9099-C40C66FF867C}">
                  <a14:compatExt spid="_x0000_s44079"/>
                </a:ext>
                <a:ext uri="{FF2B5EF4-FFF2-40B4-BE49-F238E27FC236}">
                  <a16:creationId xmlns:a16="http://schemas.microsoft.com/office/drawing/2014/main" id="{00000000-0008-0000-0700-00002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44080" name="Check Box 48" hidden="1">
              <a:extLst>
                <a:ext uri="{63B3BB69-23CF-44E3-9099-C40C66FF867C}">
                  <a14:compatExt spid="_x0000_s44080"/>
                </a:ext>
                <a:ext uri="{FF2B5EF4-FFF2-40B4-BE49-F238E27FC236}">
                  <a16:creationId xmlns:a16="http://schemas.microsoft.com/office/drawing/2014/main" id="{00000000-0008-0000-0700-00003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44081" name="Check Box 49" hidden="1">
              <a:extLst>
                <a:ext uri="{63B3BB69-23CF-44E3-9099-C40C66FF867C}">
                  <a14:compatExt spid="_x0000_s44081"/>
                </a:ext>
                <a:ext uri="{FF2B5EF4-FFF2-40B4-BE49-F238E27FC236}">
                  <a16:creationId xmlns:a16="http://schemas.microsoft.com/office/drawing/2014/main" id="{00000000-0008-0000-0700-00003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44082" name="Check Box 50" hidden="1">
              <a:extLst>
                <a:ext uri="{63B3BB69-23CF-44E3-9099-C40C66FF867C}">
                  <a14:compatExt spid="_x0000_s44082"/>
                </a:ext>
                <a:ext uri="{FF2B5EF4-FFF2-40B4-BE49-F238E27FC236}">
                  <a16:creationId xmlns:a16="http://schemas.microsoft.com/office/drawing/2014/main" id="{00000000-0008-0000-0700-00003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ad.uillinois.edu\filestorage\STRATCOM\PublicAffairs\Surveys\CDS%20(Common%20Data%20Set)\CDS%20AY2023-2024\CDS%20compiled\CDS_UNL2_2023_2024%20completed%20Admissions.xlsx" TargetMode="External"/><Relationship Id="rId1" Type="http://schemas.openxmlformats.org/officeDocument/2006/relationships/externalLinkPath" Target="file:///\\ad.uillinois.edu\filestorage\STRATCOM\PublicAffairs\Surveys\CDS%20(Common%20Data%20Set)\CDS%20AY2023-2024\CDS%20compiled\CDS_UNL2_2023_2024%20completed%20Admission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ad.uillinois.edu\filestorage\STRATCOM\PublicAffairs\Surveys\CDS%20(Common%20Data%20Set)\CDS%20AY2023-2024\CDS%20compiled\CDS_UNL2_2023_2024%20completed%20financial%20aid.xlsx" TargetMode="External"/><Relationship Id="rId1" Type="http://schemas.openxmlformats.org/officeDocument/2006/relationships/externalLinkPath" Target="file:///\\ad.uillinois.edu\filestorage\STRATCOM\PublicAffairs\Surveys\CDS%20(Common%20Data%20Set)\CDS%20AY2023-2024\CDS%20compiled\CDS_UNL2_2023_2024%20completed%20financial%20a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CDS-A"/>
      <sheetName val="CDS-B"/>
      <sheetName val="CDS-D"/>
      <sheetName val="CDS-E"/>
      <sheetName val="CDS-F"/>
      <sheetName val="CDS-G"/>
      <sheetName val="CDS-H"/>
      <sheetName val="CDS-I"/>
      <sheetName val="CDS-J"/>
      <sheetName val="DEFINITIONS"/>
      <sheetName val="multi select"/>
      <sheetName val="valid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CDS-A"/>
      <sheetName val="CDS-B"/>
      <sheetName val="CDS-C"/>
      <sheetName val="CDS-D"/>
      <sheetName val="CDS-E"/>
      <sheetName val="CDS-F"/>
      <sheetName val="CDS-G"/>
      <sheetName val="CDS-H"/>
      <sheetName val="CDS-I"/>
      <sheetName val="CDS-J"/>
      <sheetName val="DEFINITIONS"/>
      <sheetName val="multi select"/>
      <sheetName val="valid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mailto:admissions@illinois.edu" TargetMode="Externa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https://illinois.edu/" TargetMode="External"/><Relationship Id="rId16" Type="http://schemas.openxmlformats.org/officeDocument/2006/relationships/ctrlProp" Target="../ctrlProps/ctrlProp10.xml"/><Relationship Id="rId1" Type="http://schemas.openxmlformats.org/officeDocument/2006/relationships/hyperlink" Target="mailto:csharris@illinois.edu"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5.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6.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ecure.osfa.illinois.edu/NPC/NPC.asp" TargetMode="External"/><Relationship Id="rId5" Type="http://schemas.openxmlformats.org/officeDocument/2006/relationships/ctrlProp" Target="../ctrlProps/ctrlProp101.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8.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tabSelected="1" zoomScaleNormal="100" zoomScaleSheetLayoutView="162" zoomScalePageLayoutView="120" workbookViewId="0">
      <selection sqref="A1:E1"/>
    </sheetView>
  </sheetViews>
  <sheetFormatPr defaultColWidth="11" defaultRowHeight="15.75"/>
  <cols>
    <col min="1" max="1" width="11" style="2"/>
    <col min="2" max="2" width="17.125" style="2" customWidth="1"/>
    <col min="3" max="3" width="17.5" style="2" customWidth="1"/>
    <col min="4" max="4" width="51" style="52" customWidth="1"/>
    <col min="5" max="16384" width="11" style="2"/>
  </cols>
  <sheetData>
    <row r="1" spans="1:5" ht="18">
      <c r="A1" s="223" t="s">
        <v>448</v>
      </c>
      <c r="B1" s="223"/>
      <c r="C1" s="223"/>
      <c r="D1" s="223"/>
      <c r="E1" s="223"/>
    </row>
    <row r="2" spans="1:5" ht="6.95" customHeight="1"/>
    <row r="3" spans="1:5" ht="18">
      <c r="A3" s="22" t="s">
        <v>449</v>
      </c>
      <c r="B3" s="21"/>
    </row>
    <row r="4" spans="1:5" ht="6.95" customHeight="1"/>
    <row r="5" spans="1:5">
      <c r="B5" s="217" t="s">
        <v>450</v>
      </c>
      <c r="C5" s="217"/>
      <c r="D5" s="93" t="s">
        <v>1364</v>
      </c>
    </row>
    <row r="6" spans="1:5">
      <c r="B6" s="217" t="s">
        <v>451</v>
      </c>
      <c r="C6" s="224"/>
      <c r="D6" s="93" t="s">
        <v>1365</v>
      </c>
    </row>
    <row r="7" spans="1:5">
      <c r="B7" s="217" t="s">
        <v>452</v>
      </c>
      <c r="C7" s="217"/>
      <c r="D7" s="93" t="s">
        <v>1366</v>
      </c>
    </row>
    <row r="8" spans="1:5">
      <c r="B8" s="217" t="s">
        <v>453</v>
      </c>
      <c r="C8" s="217"/>
      <c r="D8" s="93" t="s">
        <v>1367</v>
      </c>
    </row>
    <row r="9" spans="1:5">
      <c r="B9" s="217" t="s">
        <v>454</v>
      </c>
      <c r="C9" s="217"/>
      <c r="D9" s="191" t="s">
        <v>1368</v>
      </c>
    </row>
    <row r="10" spans="1:5">
      <c r="B10" s="217" t="s">
        <v>455</v>
      </c>
      <c r="C10" s="217"/>
      <c r="D10" s="93" t="s">
        <v>1369</v>
      </c>
    </row>
    <row r="11" spans="1:5">
      <c r="B11" s="217" t="s">
        <v>456</v>
      </c>
      <c r="C11" s="217"/>
      <c r="D11" s="93" t="s">
        <v>79</v>
      </c>
    </row>
    <row r="12" spans="1:5">
      <c r="B12" s="217" t="s">
        <v>457</v>
      </c>
      <c r="C12" s="217"/>
      <c r="D12" s="192">
        <v>61820</v>
      </c>
    </row>
    <row r="13" spans="1:5">
      <c r="B13" s="217" t="s">
        <v>458</v>
      </c>
      <c r="C13" s="217"/>
      <c r="D13" s="93"/>
    </row>
    <row r="14" spans="1:5">
      <c r="B14" s="218" t="s">
        <v>459</v>
      </c>
      <c r="C14" s="219"/>
      <c r="D14" s="193" t="s">
        <v>1370</v>
      </c>
    </row>
    <row r="15" spans="1:5">
      <c r="B15" s="218" t="s">
        <v>460</v>
      </c>
      <c r="C15" s="219"/>
      <c r="D15" s="194"/>
    </row>
    <row r="16" spans="1:5">
      <c r="B16" s="218" t="s">
        <v>461</v>
      </c>
      <c r="C16" s="219"/>
      <c r="D16" s="198" t="s">
        <v>1371</v>
      </c>
    </row>
    <row r="17" spans="1:5">
      <c r="B17" s="217"/>
      <c r="C17" s="217"/>
      <c r="D17" s="199"/>
    </row>
    <row r="19" spans="1:5">
      <c r="B19" s="52" t="s">
        <v>462</v>
      </c>
    </row>
    <row r="20" spans="1:5">
      <c r="B20" s="52"/>
      <c r="D20" s="197" t="s">
        <v>1372</v>
      </c>
    </row>
    <row r="21" spans="1:5">
      <c r="B21" s="2" t="s">
        <v>463</v>
      </c>
    </row>
    <row r="22" spans="1:5">
      <c r="D22" s="200"/>
    </row>
    <row r="24" spans="1:5" ht="18.75">
      <c r="A24" s="55" t="s">
        <v>464</v>
      </c>
    </row>
    <row r="25" spans="1:5" ht="6.95" customHeight="1"/>
    <row r="26" spans="1:5" ht="15.95" customHeight="1">
      <c r="A26" s="216" t="s">
        <v>465</v>
      </c>
      <c r="B26" s="216"/>
      <c r="C26" s="216"/>
      <c r="D26" s="216"/>
      <c r="E26" s="57"/>
    </row>
    <row r="27" spans="1:5">
      <c r="A27" s="216"/>
      <c r="B27" s="216"/>
      <c r="C27" s="216"/>
      <c r="D27" s="216"/>
      <c r="E27" s="57"/>
    </row>
    <row r="28" spans="1:5" ht="32.1" customHeight="1">
      <c r="A28" s="216"/>
      <c r="B28" s="216"/>
      <c r="C28" s="216"/>
      <c r="D28" s="216"/>
      <c r="E28" s="57"/>
    </row>
    <row r="29" spans="1:5" ht="6.95" customHeight="1">
      <c r="A29" s="216"/>
      <c r="B29" s="216"/>
      <c r="C29" s="216"/>
      <c r="D29" s="216"/>
      <c r="E29" s="57"/>
    </row>
    <row r="30" spans="1:5" ht="8.1" customHeight="1">
      <c r="B30" s="57"/>
      <c r="C30" s="57"/>
      <c r="D30" s="56"/>
      <c r="E30" s="57"/>
    </row>
    <row r="31" spans="1:5" ht="99.95" customHeight="1">
      <c r="B31" s="57"/>
      <c r="C31" s="58" t="s">
        <v>466</v>
      </c>
      <c r="D31" s="3"/>
    </row>
    <row r="32" spans="1:5" ht="18">
      <c r="A32" s="22" t="s">
        <v>467</v>
      </c>
      <c r="B32" s="21"/>
    </row>
    <row r="33" spans="1:5">
      <c r="A33" s="59" t="s">
        <v>468</v>
      </c>
    </row>
    <row r="34" spans="1:5">
      <c r="B34" s="2" t="s">
        <v>469</v>
      </c>
      <c r="C34" s="60"/>
      <c r="D34" s="220" t="s">
        <v>1373</v>
      </c>
      <c r="E34" s="220"/>
    </row>
    <row r="35" spans="1:5">
      <c r="B35" s="2" t="s">
        <v>470</v>
      </c>
      <c r="C35" s="60"/>
      <c r="D35" s="221" t="s">
        <v>1374</v>
      </c>
      <c r="E35" s="222"/>
    </row>
    <row r="36" spans="1:5">
      <c r="B36" s="2" t="s">
        <v>455</v>
      </c>
      <c r="C36" s="60"/>
      <c r="D36" s="221" t="s">
        <v>1369</v>
      </c>
      <c r="E36" s="222"/>
    </row>
    <row r="37" spans="1:5">
      <c r="B37" s="2" t="s">
        <v>456</v>
      </c>
      <c r="C37" s="60"/>
      <c r="D37" s="93" t="s">
        <v>79</v>
      </c>
    </row>
    <row r="38" spans="1:5">
      <c r="B38" s="2" t="s">
        <v>457</v>
      </c>
      <c r="C38" s="60"/>
      <c r="D38" s="192">
        <v>61820</v>
      </c>
    </row>
    <row r="39" spans="1:5">
      <c r="B39" s="2" t="s">
        <v>458</v>
      </c>
      <c r="C39" s="60"/>
      <c r="D39" s="93"/>
    </row>
    <row r="40" spans="1:5">
      <c r="B40" s="2" t="s">
        <v>471</v>
      </c>
      <c r="C40" s="60"/>
      <c r="D40" s="193">
        <v>2173331000</v>
      </c>
    </row>
    <row r="41" spans="1:5">
      <c r="B41" s="2" t="s">
        <v>472</v>
      </c>
      <c r="C41" s="60"/>
      <c r="D41" s="198" t="s">
        <v>1375</v>
      </c>
    </row>
    <row r="42" spans="1:5">
      <c r="B42" s="2" t="s">
        <v>473</v>
      </c>
      <c r="C42" s="60"/>
      <c r="D42" s="201"/>
    </row>
    <row r="43" spans="1:5">
      <c r="D43" s="202"/>
    </row>
    <row r="44" spans="1:5">
      <c r="A44" s="59" t="s">
        <v>474</v>
      </c>
      <c r="D44" s="202"/>
    </row>
    <row r="45" spans="1:5">
      <c r="B45" s="2" t="s">
        <v>475</v>
      </c>
      <c r="D45" s="175" t="s">
        <v>1376</v>
      </c>
    </row>
    <row r="46" spans="1:5">
      <c r="B46" s="2" t="s">
        <v>455</v>
      </c>
      <c r="D46" s="175" t="s">
        <v>1377</v>
      </c>
    </row>
    <row r="47" spans="1:5">
      <c r="B47" s="2" t="s">
        <v>456</v>
      </c>
      <c r="D47" s="175" t="s">
        <v>79</v>
      </c>
    </row>
    <row r="48" spans="1:5">
      <c r="B48" s="2" t="s">
        <v>457</v>
      </c>
      <c r="D48" s="203" t="s">
        <v>1378</v>
      </c>
    </row>
    <row r="49" spans="1:4">
      <c r="B49" s="2" t="s">
        <v>458</v>
      </c>
      <c r="D49" s="175"/>
    </row>
    <row r="50" spans="1:4">
      <c r="B50" s="2" t="s">
        <v>476</v>
      </c>
      <c r="D50" s="204">
        <v>2172444614</v>
      </c>
    </row>
    <row r="51" spans="1:4">
      <c r="B51" s="2" t="s">
        <v>477</v>
      </c>
      <c r="D51" s="204"/>
    </row>
    <row r="52" spans="1:4">
      <c r="B52" s="2" t="s">
        <v>478</v>
      </c>
      <c r="D52" s="195" t="s">
        <v>1379</v>
      </c>
    </row>
    <row r="53" spans="1:4">
      <c r="B53" s="2" t="s">
        <v>479</v>
      </c>
      <c r="D53" s="198" t="s">
        <v>1380</v>
      </c>
    </row>
    <row r="55" spans="1:4">
      <c r="B55" s="52" t="s">
        <v>480</v>
      </c>
    </row>
    <row r="56" spans="1:4">
      <c r="B56" s="52"/>
      <c r="D56" s="200" t="s">
        <v>1381</v>
      </c>
    </row>
    <row r="57" spans="1:4">
      <c r="B57" s="52"/>
      <c r="D57" s="205"/>
    </row>
    <row r="58" spans="1:4">
      <c r="B58" s="52"/>
      <c r="D58" s="205"/>
    </row>
    <row r="59" spans="1:4">
      <c r="B59" s="52"/>
      <c r="D59" s="205"/>
    </row>
    <row r="60" spans="1:4">
      <c r="B60" s="2" t="s">
        <v>481</v>
      </c>
    </row>
    <row r="61" spans="1:4" ht="50.1" customHeight="1">
      <c r="D61" s="15"/>
    </row>
    <row r="63" spans="1:4" ht="18.75">
      <c r="A63" s="22" t="s">
        <v>482</v>
      </c>
    </row>
    <row r="64" spans="1:4" ht="18">
      <c r="D64" s="206" t="s">
        <v>8</v>
      </c>
    </row>
    <row r="66" spans="1:4" ht="18.75">
      <c r="A66" s="22" t="s">
        <v>483</v>
      </c>
    </row>
    <row r="67" spans="1:4" ht="18.75">
      <c r="D67" s="207" t="s">
        <v>1346</v>
      </c>
    </row>
    <row r="69" spans="1:4" ht="18.75">
      <c r="A69" s="22" t="s">
        <v>484</v>
      </c>
    </row>
    <row r="70" spans="1:4" ht="18.75">
      <c r="D70" s="207" t="s">
        <v>9</v>
      </c>
    </row>
    <row r="72" spans="1:4" ht="15.95" customHeight="1">
      <c r="A72" s="59" t="s">
        <v>485</v>
      </c>
      <c r="D72" s="56"/>
    </row>
    <row r="73" spans="1:4" ht="227.1" customHeight="1">
      <c r="D73" s="3"/>
    </row>
    <row r="74" spans="1:4" ht="39" customHeight="1">
      <c r="D74" s="208"/>
    </row>
    <row r="75" spans="1:4" ht="18.75">
      <c r="A75" s="22" t="s">
        <v>486</v>
      </c>
    </row>
    <row r="76" spans="1:4" ht="18">
      <c r="A76" s="22"/>
    </row>
    <row r="77" spans="1:4" ht="18.75">
      <c r="A77" s="22"/>
      <c r="C77" s="62"/>
      <c r="D77" s="209"/>
    </row>
    <row r="78" spans="1:4" ht="18.75">
      <c r="A78" s="22"/>
      <c r="B78" s="2" t="s">
        <v>487</v>
      </c>
      <c r="C78" s="62"/>
      <c r="D78" s="209" t="s">
        <v>488</v>
      </c>
    </row>
    <row r="79" spans="1:4" ht="18.75">
      <c r="A79" s="22"/>
      <c r="C79" s="62"/>
      <c r="D79" s="209"/>
    </row>
    <row r="80" spans="1:4" ht="18.75">
      <c r="A80" s="22"/>
      <c r="B80" s="2" t="s">
        <v>489</v>
      </c>
      <c r="C80" s="62"/>
      <c r="D80" s="209" t="s">
        <v>490</v>
      </c>
    </row>
    <row r="81" spans="1:4" ht="18.75">
      <c r="A81" s="22"/>
      <c r="C81" s="62"/>
      <c r="D81" s="209"/>
    </row>
    <row r="82" spans="1:4" ht="18.75">
      <c r="A82" s="22"/>
      <c r="B82" s="2" t="s">
        <v>491</v>
      </c>
      <c r="C82" s="62"/>
      <c r="D82" s="209" t="s">
        <v>492</v>
      </c>
    </row>
    <row r="83" spans="1:4" ht="18.75">
      <c r="A83" s="22"/>
      <c r="C83" s="62"/>
      <c r="D83" s="209"/>
    </row>
    <row r="84" spans="1:4" ht="18.75">
      <c r="A84" s="22"/>
      <c r="B84" s="2" t="s">
        <v>493</v>
      </c>
      <c r="C84" s="62"/>
      <c r="D84" s="209" t="s">
        <v>494</v>
      </c>
    </row>
    <row r="85" spans="1:4" ht="18.75">
      <c r="A85" s="22"/>
      <c r="C85" s="62"/>
      <c r="D85" s="209"/>
    </row>
    <row r="86" spans="1:4" ht="18.75">
      <c r="A86" s="22"/>
      <c r="B86" s="2" t="s">
        <v>495</v>
      </c>
      <c r="C86" s="62"/>
      <c r="D86" s="209" t="s">
        <v>496</v>
      </c>
    </row>
    <row r="87" spans="1:4" ht="18.75">
      <c r="A87" s="22"/>
      <c r="C87" s="62"/>
      <c r="D87" s="209"/>
    </row>
    <row r="88" spans="1:4" ht="18.75">
      <c r="A88" s="22" t="s">
        <v>1382</v>
      </c>
      <c r="B88" s="2" t="s">
        <v>497</v>
      </c>
      <c r="C88" s="62"/>
      <c r="D88" s="209"/>
    </row>
    <row r="89" spans="1:4" ht="18">
      <c r="A89" s="22"/>
    </row>
    <row r="90" spans="1:4" ht="18.75">
      <c r="A90" s="22"/>
      <c r="B90" s="2" t="s">
        <v>498</v>
      </c>
      <c r="C90" s="62"/>
      <c r="D90" s="209"/>
    </row>
    <row r="91" spans="1:4" ht="18">
      <c r="A91" s="22"/>
    </row>
    <row r="92" spans="1:4" ht="18.75">
      <c r="A92" s="22"/>
      <c r="C92" s="62"/>
      <c r="D92" s="209"/>
    </row>
    <row r="93" spans="1:4" ht="18">
      <c r="A93" s="22"/>
    </row>
    <row r="94" spans="1:4" ht="18">
      <c r="A94" s="22" t="s">
        <v>499</v>
      </c>
    </row>
    <row r="95" spans="1:4">
      <c r="A95" s="2" t="s">
        <v>500</v>
      </c>
    </row>
    <row r="96" spans="1:4" ht="18" customHeight="1">
      <c r="D96" s="195" t="s">
        <v>1383</v>
      </c>
    </row>
    <row r="97" spans="1:5" ht="18" customHeight="1">
      <c r="D97" s="50"/>
    </row>
    <row r="98" spans="1:5" ht="18.75">
      <c r="A98" s="215" t="s">
        <v>501</v>
      </c>
      <c r="B98" s="215"/>
      <c r="C98" s="215"/>
      <c r="D98" s="215"/>
      <c r="E98" s="215"/>
    </row>
  </sheetData>
  <sheetProtection formatColumns="0" formatRows="0" selectLockedCells="1"/>
  <mergeCells count="19">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 ref="D34:E34"/>
    <mergeCell ref="D35:E35"/>
    <mergeCell ref="D36:E36"/>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9B381BB8-2D1E-4C57-B7E3-0A823BDFF101}"/>
    <hyperlink ref="D41" r:id="rId2" xr:uid="{1A1C83C1-0243-403A-8C56-778B8C90A273}"/>
    <hyperlink ref="D53" r:id="rId3" xr:uid="{503F8D08-85F0-46EE-A0EF-D0C12FB2C0C6}"/>
  </hyperlinks>
  <pageMargins left="0.7" right="0.7" top="0.75" bottom="0.75" header="0.3" footer="0.3"/>
  <pageSetup orientation="landscape" r:id="rId4"/>
  <headerFooter>
    <oddHeader xml:space="preserve">&amp;C 
</oddHeader>
    <oddFooter xml:space="preserve">&amp;C 
</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25641" r:id="rId7"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8"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9"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0"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1"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2"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3"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4"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5"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6"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7"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18"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CC2D-E1EF-4613-9642-21B0F54A02CC}">
  <dimension ref="A1:E50"/>
  <sheetViews>
    <sheetView showGridLines="0" showRuler="0" zoomScaleNormal="100" workbookViewId="0">
      <selection sqref="A1:E1"/>
    </sheetView>
  </sheetViews>
  <sheetFormatPr defaultColWidth="10.625" defaultRowHeight="15.75"/>
  <cols>
    <col min="1" max="1" width="54" style="2" customWidth="1"/>
    <col min="2" max="5" width="14.375" style="2" customWidth="1"/>
    <col min="6" max="16384" width="10.625" style="2"/>
  </cols>
  <sheetData>
    <row r="1" spans="1:5" ht="18.95" customHeight="1">
      <c r="A1" s="240" t="s">
        <v>1146</v>
      </c>
      <c r="B1" s="240"/>
      <c r="C1" s="240"/>
      <c r="D1" s="240"/>
      <c r="E1" s="240"/>
    </row>
    <row r="3" spans="1:5">
      <c r="A3" s="21" t="s">
        <v>1147</v>
      </c>
    </row>
    <row r="5" spans="1:5" ht="93.95" customHeight="1">
      <c r="A5" s="250" t="s">
        <v>1148</v>
      </c>
      <c r="B5" s="250"/>
      <c r="C5" s="250"/>
      <c r="D5" s="250"/>
      <c r="E5" s="250"/>
    </row>
    <row r="8" spans="1:5" ht="47.25">
      <c r="A8" s="181" t="s">
        <v>1149</v>
      </c>
      <c r="B8" s="182" t="s">
        <v>1150</v>
      </c>
      <c r="C8" s="181" t="s">
        <v>491</v>
      </c>
      <c r="D8" s="181" t="s">
        <v>497</v>
      </c>
      <c r="E8" s="182" t="s">
        <v>1151</v>
      </c>
    </row>
    <row r="9" spans="1:5">
      <c r="A9" s="183" t="s">
        <v>1152</v>
      </c>
      <c r="B9" s="42"/>
      <c r="C9" s="42"/>
      <c r="D9" s="31">
        <v>5.8228123639529825E-2</v>
      </c>
      <c r="E9" s="184">
        <v>1</v>
      </c>
    </row>
    <row r="10" spans="1:5">
      <c r="A10" s="183" t="s">
        <v>1153</v>
      </c>
      <c r="B10" s="42"/>
      <c r="C10" s="42"/>
      <c r="D10" s="31">
        <v>8.9246843709185897E-3</v>
      </c>
      <c r="E10" s="184">
        <v>3</v>
      </c>
    </row>
    <row r="11" spans="1:5">
      <c r="A11" s="183" t="s">
        <v>1154</v>
      </c>
      <c r="B11" s="42"/>
      <c r="C11" s="42"/>
      <c r="D11" s="31">
        <v>9.4688724423160637E-3</v>
      </c>
      <c r="E11" s="184">
        <v>4</v>
      </c>
    </row>
    <row r="12" spans="1:5">
      <c r="A12" s="183" t="s">
        <v>1155</v>
      </c>
      <c r="B12" s="42"/>
      <c r="C12" s="42"/>
      <c r="D12" s="31">
        <v>4.4623421854592948E-3</v>
      </c>
      <c r="E12" s="184">
        <v>5</v>
      </c>
    </row>
    <row r="13" spans="1:5">
      <c r="A13" s="183" t="s">
        <v>1156</v>
      </c>
      <c r="B13" s="42"/>
      <c r="C13" s="42"/>
      <c r="D13" s="31">
        <v>5.8119286025250329E-2</v>
      </c>
      <c r="E13" s="184">
        <v>9</v>
      </c>
    </row>
    <row r="14" spans="1:5">
      <c r="A14" s="183" t="s">
        <v>1157</v>
      </c>
      <c r="B14" s="42"/>
      <c r="C14" s="42"/>
      <c r="D14" s="31"/>
      <c r="E14" s="184">
        <v>10</v>
      </c>
    </row>
    <row r="15" spans="1:5">
      <c r="A15" s="183" t="s">
        <v>1158</v>
      </c>
      <c r="B15" s="42"/>
      <c r="C15" s="42"/>
      <c r="D15" s="31">
        <v>6.3452329124945583E-2</v>
      </c>
      <c r="E15" s="184">
        <v>11</v>
      </c>
    </row>
    <row r="16" spans="1:5">
      <c r="A16" s="183" t="s">
        <v>1159</v>
      </c>
      <c r="B16" s="42"/>
      <c r="C16" s="42"/>
      <c r="D16" s="31"/>
      <c r="E16" s="184">
        <v>12</v>
      </c>
    </row>
    <row r="17" spans="1:5">
      <c r="A17" s="183" t="s">
        <v>1160</v>
      </c>
      <c r="B17" s="42"/>
      <c r="C17" s="42"/>
      <c r="D17" s="31">
        <v>1.8937744884632127E-2</v>
      </c>
      <c r="E17" s="184">
        <v>13</v>
      </c>
    </row>
    <row r="18" spans="1:5">
      <c r="A18" s="183" t="s">
        <v>1161</v>
      </c>
      <c r="B18" s="42"/>
      <c r="C18" s="42"/>
      <c r="D18" s="31">
        <v>0.1978667827601219</v>
      </c>
      <c r="E18" s="184">
        <v>14</v>
      </c>
    </row>
    <row r="19" spans="1:5">
      <c r="A19" s="183" t="s">
        <v>1162</v>
      </c>
      <c r="B19" s="42"/>
      <c r="C19" s="42"/>
      <c r="D19" s="31">
        <v>4.3535045711797995E-4</v>
      </c>
      <c r="E19" s="184">
        <v>15</v>
      </c>
    </row>
    <row r="20" spans="1:5">
      <c r="A20" s="183" t="s">
        <v>1163</v>
      </c>
      <c r="B20" s="42"/>
      <c r="C20" s="42"/>
      <c r="D20" s="31">
        <v>8.4893339138006098E-3</v>
      </c>
      <c r="E20" s="184">
        <v>16</v>
      </c>
    </row>
    <row r="21" spans="1:5">
      <c r="A21" s="183" t="s">
        <v>1164</v>
      </c>
      <c r="B21" s="42"/>
      <c r="C21" s="42"/>
      <c r="D21" s="31">
        <v>1.0992599042228995E-2</v>
      </c>
      <c r="E21" s="184">
        <v>19</v>
      </c>
    </row>
    <row r="22" spans="1:5">
      <c r="A22" s="183" t="s">
        <v>1165</v>
      </c>
      <c r="B22" s="42"/>
      <c r="C22" s="42"/>
      <c r="D22" s="31"/>
      <c r="E22" s="184">
        <v>22</v>
      </c>
    </row>
    <row r="23" spans="1:5">
      <c r="A23" s="183" t="s">
        <v>637</v>
      </c>
      <c r="B23" s="42"/>
      <c r="C23" s="42"/>
      <c r="D23" s="31">
        <v>1.3931214627775359E-2</v>
      </c>
      <c r="E23" s="184">
        <v>23</v>
      </c>
    </row>
    <row r="24" spans="1:5">
      <c r="A24" s="183" t="s">
        <v>1166</v>
      </c>
      <c r="B24" s="42"/>
      <c r="C24" s="42"/>
      <c r="D24" s="31">
        <v>2.1767522855898998E-4</v>
      </c>
      <c r="E24" s="184">
        <v>24</v>
      </c>
    </row>
    <row r="25" spans="1:5">
      <c r="A25" s="183" t="s">
        <v>1167</v>
      </c>
      <c r="B25" s="42"/>
      <c r="C25" s="42"/>
      <c r="D25" s="31"/>
      <c r="E25" s="184">
        <v>25</v>
      </c>
    </row>
    <row r="26" spans="1:5">
      <c r="A26" s="183" t="s">
        <v>1168</v>
      </c>
      <c r="B26" s="42"/>
      <c r="C26" s="42"/>
      <c r="D26" s="31">
        <v>5.0500653025685675E-2</v>
      </c>
      <c r="E26" s="184">
        <v>26</v>
      </c>
    </row>
    <row r="27" spans="1:5">
      <c r="A27" s="183" t="s">
        <v>1169</v>
      </c>
      <c r="B27" s="42"/>
      <c r="C27" s="42"/>
      <c r="D27" s="31">
        <v>5.1262516325642139E-2</v>
      </c>
      <c r="E27" s="184">
        <v>27</v>
      </c>
    </row>
    <row r="28" spans="1:5">
      <c r="A28" s="183" t="s">
        <v>1170</v>
      </c>
      <c r="B28" s="42"/>
      <c r="C28" s="42"/>
      <c r="D28" s="31"/>
      <c r="E28" s="184" t="s">
        <v>1171</v>
      </c>
    </row>
    <row r="29" spans="1:5">
      <c r="A29" s="183" t="s">
        <v>1172</v>
      </c>
      <c r="B29" s="42"/>
      <c r="C29" s="42"/>
      <c r="D29" s="31">
        <v>3.1127557683935568E-2</v>
      </c>
      <c r="E29" s="184">
        <v>30</v>
      </c>
    </row>
    <row r="30" spans="1:5">
      <c r="A30" s="183" t="s">
        <v>1173</v>
      </c>
      <c r="B30" s="42"/>
      <c r="C30" s="42"/>
      <c r="D30" s="31">
        <v>2.7971266869830213E-2</v>
      </c>
      <c r="E30" s="184">
        <v>31</v>
      </c>
    </row>
    <row r="31" spans="1:5">
      <c r="A31" s="183" t="s">
        <v>1174</v>
      </c>
      <c r="B31" s="42"/>
      <c r="C31" s="42"/>
      <c r="D31" s="31">
        <v>2.3944275141488899E-3</v>
      </c>
      <c r="E31" s="184">
        <v>38</v>
      </c>
    </row>
    <row r="32" spans="1:5">
      <c r="A32" s="183" t="s">
        <v>1175</v>
      </c>
      <c r="B32" s="42"/>
      <c r="C32" s="42"/>
      <c r="D32" s="31"/>
      <c r="E32" s="184">
        <v>39</v>
      </c>
    </row>
    <row r="33" spans="1:5">
      <c r="A33" s="183" t="s">
        <v>1176</v>
      </c>
      <c r="B33" s="42"/>
      <c r="C33" s="42"/>
      <c r="D33" s="31">
        <v>2.5032651284283849E-2</v>
      </c>
      <c r="E33" s="184">
        <v>40</v>
      </c>
    </row>
    <row r="34" spans="1:5">
      <c r="A34" s="183" t="s">
        <v>1177</v>
      </c>
      <c r="B34" s="42"/>
      <c r="C34" s="42"/>
      <c r="D34" s="31"/>
      <c r="E34" s="184">
        <v>41</v>
      </c>
    </row>
    <row r="35" spans="1:5">
      <c r="A35" s="183" t="s">
        <v>1178</v>
      </c>
      <c r="B35" s="42"/>
      <c r="C35" s="42"/>
      <c r="D35" s="31">
        <v>6.2363952982150632E-2</v>
      </c>
      <c r="E35" s="184">
        <v>42</v>
      </c>
    </row>
    <row r="36" spans="1:5" ht="31.5">
      <c r="A36" s="183" t="s">
        <v>1179</v>
      </c>
      <c r="B36" s="42"/>
      <c r="C36" s="42"/>
      <c r="D36" s="31"/>
      <c r="E36" s="184">
        <v>43</v>
      </c>
    </row>
    <row r="37" spans="1:5">
      <c r="A37" s="183" t="s">
        <v>1180</v>
      </c>
      <c r="B37" s="42"/>
      <c r="C37" s="42"/>
      <c r="D37" s="31">
        <v>9.4688724423160637E-3</v>
      </c>
      <c r="E37" s="184">
        <v>44</v>
      </c>
    </row>
    <row r="38" spans="1:5">
      <c r="A38" s="183" t="s">
        <v>1181</v>
      </c>
      <c r="B38" s="42"/>
      <c r="C38" s="42"/>
      <c r="D38" s="31">
        <v>7.6512842838484973E-2</v>
      </c>
      <c r="E38" s="184">
        <v>45</v>
      </c>
    </row>
    <row r="39" spans="1:5">
      <c r="A39" s="183" t="s">
        <v>1182</v>
      </c>
      <c r="B39" s="42"/>
      <c r="C39" s="42"/>
      <c r="D39" s="31"/>
      <c r="E39" s="184">
        <v>46</v>
      </c>
    </row>
    <row r="40" spans="1:5">
      <c r="A40" s="183" t="s">
        <v>1183</v>
      </c>
      <c r="B40" s="42"/>
      <c r="C40" s="42"/>
      <c r="D40" s="31"/>
      <c r="E40" s="184">
        <v>47</v>
      </c>
    </row>
    <row r="41" spans="1:5">
      <c r="A41" s="183" t="s">
        <v>1184</v>
      </c>
      <c r="B41" s="42"/>
      <c r="C41" s="42"/>
      <c r="D41" s="31"/>
      <c r="E41" s="184">
        <v>48</v>
      </c>
    </row>
    <row r="42" spans="1:5">
      <c r="A42" s="183" t="s">
        <v>1185</v>
      </c>
      <c r="B42" s="42"/>
      <c r="C42" s="42"/>
      <c r="D42" s="31"/>
      <c r="E42" s="184">
        <v>49</v>
      </c>
    </row>
    <row r="43" spans="1:5">
      <c r="A43" s="183" t="s">
        <v>1186</v>
      </c>
      <c r="B43" s="42"/>
      <c r="C43" s="42"/>
      <c r="D43" s="31">
        <v>2.372659991292991E-2</v>
      </c>
      <c r="E43" s="184">
        <v>50</v>
      </c>
    </row>
    <row r="44" spans="1:5">
      <c r="A44" s="183" t="s">
        <v>1187</v>
      </c>
      <c r="B44" s="42"/>
      <c r="C44" s="42"/>
      <c r="D44" s="31">
        <v>4.2228994340444061E-2</v>
      </c>
      <c r="E44" s="184">
        <v>51</v>
      </c>
    </row>
    <row r="45" spans="1:5">
      <c r="A45" s="183" t="s">
        <v>1188</v>
      </c>
      <c r="B45" s="42"/>
      <c r="C45" s="42"/>
      <c r="D45" s="31">
        <v>0.13365259033521984</v>
      </c>
      <c r="E45" s="184">
        <v>52</v>
      </c>
    </row>
    <row r="46" spans="1:5">
      <c r="A46" s="183" t="s">
        <v>398</v>
      </c>
      <c r="B46" s="42"/>
      <c r="C46" s="42"/>
      <c r="D46" s="31">
        <v>1.0230735742272529E-2</v>
      </c>
      <c r="E46" s="184">
        <v>54</v>
      </c>
    </row>
    <row r="47" spans="1:5">
      <c r="A47" s="185" t="s">
        <v>3</v>
      </c>
      <c r="B47" s="42"/>
      <c r="C47" s="42"/>
      <c r="D47" s="31"/>
      <c r="E47" s="1"/>
    </row>
    <row r="50" spans="1:5" ht="18.75">
      <c r="A50" s="240" t="s">
        <v>1189</v>
      </c>
      <c r="B50" s="240"/>
      <c r="C50" s="240"/>
      <c r="D50" s="240"/>
      <c r="E50" s="240"/>
    </row>
  </sheetData>
  <sheetProtection formatColumns="0" formatRows="0" selectLockedCells="1"/>
  <mergeCells count="3">
    <mergeCell ref="A1:E1"/>
    <mergeCell ref="A5:E5"/>
    <mergeCell ref="A50:E50"/>
  </mergeCells>
  <dataValidations count="1">
    <dataValidation type="decimal" allowBlank="1" showInputMessage="1" showErrorMessage="1" sqref="B9:C47 D9:D16 D25 D28:D47" xr:uid="{1A79092E-13C8-4E5A-8622-AD737ECB96DD}">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zoomScaleNormal="100" zoomScalePageLayoutView="110" workbookViewId="0">
      <selection sqref="A1:J1"/>
    </sheetView>
  </sheetViews>
  <sheetFormatPr defaultColWidth="10.875" defaultRowHeight="36" customHeight="1"/>
  <cols>
    <col min="1" max="4" width="10.875" style="61"/>
    <col min="5" max="5" width="9.5" style="61" customWidth="1"/>
    <col min="6" max="6" width="10.875" style="61"/>
    <col min="7" max="7" width="9.875" style="61" customWidth="1"/>
    <col min="8" max="8" width="10.875" style="61"/>
    <col min="9" max="9" width="10.625" style="61" customWidth="1"/>
    <col min="10" max="10" width="9.875" style="61" customWidth="1"/>
    <col min="11" max="16384" width="10.875" style="61"/>
  </cols>
  <sheetData>
    <row r="1" spans="1:10" ht="36" customHeight="1">
      <c r="A1" s="300" t="s">
        <v>1190</v>
      </c>
      <c r="B1" s="300"/>
      <c r="C1" s="300"/>
      <c r="D1" s="300"/>
      <c r="E1" s="300"/>
      <c r="F1" s="300"/>
      <c r="G1" s="300"/>
      <c r="H1" s="300"/>
      <c r="I1" s="300"/>
      <c r="J1" s="300"/>
    </row>
    <row r="2" spans="1:10" ht="12" customHeight="1">
      <c r="A2" s="305"/>
      <c r="B2" s="305"/>
      <c r="C2" s="305"/>
      <c r="D2" s="305"/>
      <c r="E2" s="305"/>
      <c r="F2" s="305"/>
      <c r="G2" s="305"/>
      <c r="H2" s="305"/>
      <c r="I2" s="305"/>
      <c r="J2" s="305"/>
    </row>
    <row r="3" spans="1:10" ht="18.95" customHeight="1">
      <c r="A3" s="302" t="s">
        <v>1191</v>
      </c>
      <c r="B3" s="301"/>
      <c r="C3" s="301"/>
      <c r="D3" s="301"/>
      <c r="E3" s="301"/>
      <c r="F3" s="301"/>
      <c r="G3" s="301"/>
      <c r="H3" s="301"/>
      <c r="I3" s="301"/>
      <c r="J3" s="301"/>
    </row>
    <row r="4" spans="1:10" ht="9" customHeight="1">
      <c r="A4" s="301"/>
      <c r="B4" s="301"/>
      <c r="C4" s="301"/>
      <c r="D4" s="301"/>
      <c r="E4" s="301"/>
      <c r="F4" s="301"/>
      <c r="G4" s="301"/>
      <c r="H4" s="301"/>
      <c r="I4" s="301"/>
      <c r="J4" s="301"/>
    </row>
    <row r="5" spans="1:10" ht="36" customHeight="1">
      <c r="A5" s="301" t="s">
        <v>1192</v>
      </c>
      <c r="B5" s="301"/>
      <c r="C5" s="301"/>
      <c r="D5" s="301"/>
      <c r="E5" s="301"/>
      <c r="F5" s="301"/>
      <c r="G5" s="301"/>
      <c r="H5" s="301"/>
      <c r="I5" s="301"/>
      <c r="J5" s="301"/>
    </row>
    <row r="6" spans="1:10" ht="9.9499999999999993" customHeight="1">
      <c r="A6" s="188"/>
    </row>
    <row r="7" spans="1:10" ht="17.100000000000001" customHeight="1">
      <c r="A7" s="298" t="s">
        <v>1193</v>
      </c>
      <c r="B7" s="298"/>
      <c r="C7" s="298"/>
      <c r="D7" s="298"/>
      <c r="E7" s="298"/>
      <c r="F7" s="298"/>
      <c r="G7" s="298"/>
      <c r="H7" s="298"/>
      <c r="I7" s="298"/>
      <c r="J7" s="298"/>
    </row>
    <row r="8" spans="1:10" ht="18.95" customHeight="1">
      <c r="A8" s="304" t="s">
        <v>1194</v>
      </c>
      <c r="B8" s="304"/>
      <c r="C8" s="304"/>
      <c r="D8" s="304"/>
      <c r="E8" s="304"/>
      <c r="F8" s="304"/>
      <c r="G8" s="304"/>
      <c r="H8" s="304"/>
      <c r="I8" s="304"/>
      <c r="J8" s="304"/>
    </row>
    <row r="9" spans="1:10" ht="36" customHeight="1">
      <c r="A9" s="187"/>
    </row>
    <row r="10" spans="1:10" s="189" customFormat="1" ht="57.6" customHeight="1">
      <c r="A10" s="297" t="s">
        <v>1195</v>
      </c>
      <c r="B10" s="297"/>
      <c r="C10" s="297"/>
      <c r="D10" s="297"/>
      <c r="E10" s="297"/>
      <c r="F10" s="297"/>
      <c r="G10" s="297"/>
      <c r="H10" s="297"/>
      <c r="I10" s="297"/>
      <c r="J10" s="297"/>
    </row>
    <row r="11" spans="1:10" s="189" customFormat="1" ht="57.6" customHeight="1">
      <c r="A11" s="297" t="s">
        <v>1196</v>
      </c>
      <c r="B11" s="297"/>
      <c r="C11" s="297"/>
      <c r="D11" s="297"/>
      <c r="E11" s="297"/>
      <c r="F11" s="297"/>
      <c r="G11" s="297"/>
      <c r="H11" s="297"/>
      <c r="I11" s="297"/>
      <c r="J11" s="297"/>
    </row>
    <row r="12" spans="1:10" s="189" customFormat="1" ht="57.6" customHeight="1">
      <c r="A12" s="302" t="s">
        <v>1197</v>
      </c>
      <c r="B12" s="302"/>
      <c r="C12" s="302"/>
      <c r="D12" s="302"/>
      <c r="E12" s="302"/>
      <c r="F12" s="302"/>
      <c r="G12" s="302"/>
      <c r="H12" s="302"/>
      <c r="I12" s="302"/>
      <c r="J12" s="302"/>
    </row>
    <row r="13" spans="1:10" s="189" customFormat="1" ht="57.6" customHeight="1">
      <c r="A13" s="302" t="s">
        <v>1198</v>
      </c>
      <c r="B13" s="302"/>
      <c r="C13" s="302"/>
      <c r="D13" s="302"/>
      <c r="E13" s="302"/>
      <c r="F13" s="302"/>
      <c r="G13" s="302"/>
      <c r="H13" s="302"/>
      <c r="I13" s="302"/>
      <c r="J13" s="302"/>
    </row>
    <row r="14" spans="1:10" s="189" customFormat="1" ht="57.6" customHeight="1">
      <c r="A14" s="297" t="s">
        <v>1199</v>
      </c>
      <c r="B14" s="297"/>
      <c r="C14" s="297"/>
      <c r="D14" s="297"/>
      <c r="E14" s="297"/>
      <c r="F14" s="297"/>
      <c r="G14" s="297"/>
      <c r="H14" s="297"/>
      <c r="I14" s="297"/>
      <c r="J14" s="297"/>
    </row>
    <row r="15" spans="1:10" s="189" customFormat="1" ht="57.6" customHeight="1">
      <c r="A15" s="297" t="s">
        <v>1200</v>
      </c>
      <c r="B15" s="297"/>
      <c r="C15" s="297"/>
      <c r="D15" s="297"/>
      <c r="E15" s="297"/>
      <c r="F15" s="297"/>
      <c r="G15" s="297"/>
      <c r="H15" s="297"/>
      <c r="I15" s="297"/>
      <c r="J15" s="297"/>
    </row>
    <row r="16" spans="1:10" s="189" customFormat="1" ht="57.6" customHeight="1">
      <c r="A16" s="297" t="s">
        <v>1201</v>
      </c>
      <c r="B16" s="297"/>
      <c r="C16" s="297"/>
      <c r="D16" s="297"/>
      <c r="E16" s="297"/>
      <c r="F16" s="297"/>
      <c r="G16" s="297"/>
      <c r="H16" s="297"/>
      <c r="I16" s="297"/>
      <c r="J16" s="297"/>
    </row>
    <row r="17" spans="1:10" s="189" customFormat="1" ht="57.6" customHeight="1">
      <c r="A17" s="297" t="s">
        <v>1202</v>
      </c>
      <c r="B17" s="297"/>
      <c r="C17" s="297"/>
      <c r="D17" s="297"/>
      <c r="E17" s="297"/>
      <c r="F17" s="297"/>
      <c r="G17" s="297"/>
      <c r="H17" s="297"/>
      <c r="I17" s="297"/>
      <c r="J17" s="297"/>
    </row>
    <row r="18" spans="1:10" s="189" customFormat="1" ht="57.6" customHeight="1">
      <c r="A18" s="297" t="s">
        <v>1203</v>
      </c>
      <c r="B18" s="297"/>
      <c r="C18" s="297"/>
      <c r="D18" s="297"/>
      <c r="E18" s="297"/>
      <c r="F18" s="297"/>
      <c r="G18" s="297"/>
      <c r="H18" s="297"/>
      <c r="I18" s="297"/>
      <c r="J18" s="297"/>
    </row>
    <row r="19" spans="1:10" s="189" customFormat="1" ht="111" customHeight="1">
      <c r="A19" s="297" t="s">
        <v>1204</v>
      </c>
      <c r="B19" s="297"/>
      <c r="C19" s="297"/>
      <c r="D19" s="297"/>
      <c r="E19" s="297"/>
      <c r="F19" s="297"/>
      <c r="G19" s="297"/>
      <c r="H19" s="297"/>
      <c r="I19" s="297"/>
      <c r="J19" s="297"/>
    </row>
    <row r="20" spans="1:10" s="189" customFormat="1" ht="57.6" customHeight="1">
      <c r="A20" s="297" t="s">
        <v>1205</v>
      </c>
      <c r="B20" s="297"/>
      <c r="C20" s="297"/>
      <c r="D20" s="297"/>
      <c r="E20" s="297"/>
      <c r="F20" s="297"/>
      <c r="G20" s="297"/>
      <c r="H20" s="297"/>
      <c r="I20" s="297"/>
      <c r="J20" s="297"/>
    </row>
    <row r="21" spans="1:10" s="189" customFormat="1" ht="57.6" customHeight="1">
      <c r="A21" s="297" t="s">
        <v>1206</v>
      </c>
      <c r="B21" s="297"/>
      <c r="C21" s="297"/>
      <c r="D21" s="297"/>
      <c r="E21" s="297"/>
      <c r="F21" s="297"/>
      <c r="G21" s="297"/>
      <c r="H21" s="297"/>
      <c r="I21" s="297"/>
      <c r="J21" s="297"/>
    </row>
    <row r="22" spans="1:10" s="189" customFormat="1" ht="57.6" customHeight="1">
      <c r="A22" s="297" t="s">
        <v>1207</v>
      </c>
      <c r="B22" s="297"/>
      <c r="C22" s="297"/>
      <c r="D22" s="297"/>
      <c r="E22" s="297"/>
      <c r="F22" s="297"/>
      <c r="G22" s="297"/>
      <c r="H22" s="297"/>
      <c r="I22" s="297"/>
      <c r="J22" s="297"/>
    </row>
    <row r="23" spans="1:10" s="189" customFormat="1" ht="57.6" customHeight="1">
      <c r="A23" s="297" t="s">
        <v>1208</v>
      </c>
      <c r="B23" s="297"/>
      <c r="C23" s="297"/>
      <c r="D23" s="297"/>
      <c r="E23" s="297"/>
      <c r="F23" s="297"/>
      <c r="G23" s="297"/>
      <c r="H23" s="297"/>
      <c r="I23" s="297"/>
      <c r="J23" s="297"/>
    </row>
    <row r="24" spans="1:10" s="189" customFormat="1" ht="57.6" customHeight="1">
      <c r="A24" s="303" t="s">
        <v>1209</v>
      </c>
      <c r="B24" s="303"/>
      <c r="C24" s="303"/>
      <c r="D24" s="303"/>
      <c r="E24" s="303"/>
      <c r="F24" s="303"/>
      <c r="G24" s="303"/>
      <c r="H24" s="303"/>
      <c r="I24" s="303"/>
      <c r="J24" s="303"/>
    </row>
    <row r="25" spans="1:10" s="189" customFormat="1" ht="74.099999999999994" customHeight="1">
      <c r="A25" s="297" t="s">
        <v>1210</v>
      </c>
      <c r="B25" s="297"/>
      <c r="C25" s="297"/>
      <c r="D25" s="297"/>
      <c r="E25" s="297"/>
      <c r="F25" s="297"/>
      <c r="G25" s="297"/>
      <c r="H25" s="297"/>
      <c r="I25" s="297"/>
      <c r="J25" s="297"/>
    </row>
    <row r="26" spans="1:10" s="189" customFormat="1" ht="57.6" customHeight="1">
      <c r="A26" s="297" t="s">
        <v>1211</v>
      </c>
      <c r="B26" s="297"/>
      <c r="C26" s="297"/>
      <c r="D26" s="297"/>
      <c r="E26" s="297"/>
      <c r="F26" s="297"/>
      <c r="G26" s="297"/>
      <c r="H26" s="297"/>
      <c r="I26" s="297"/>
      <c r="J26" s="297"/>
    </row>
    <row r="27" spans="1:10" s="189" customFormat="1" ht="57.6" customHeight="1">
      <c r="A27" s="297" t="s">
        <v>1212</v>
      </c>
      <c r="B27" s="297"/>
      <c r="C27" s="297"/>
      <c r="D27" s="297"/>
      <c r="E27" s="297"/>
      <c r="F27" s="297"/>
      <c r="G27" s="297"/>
      <c r="H27" s="297"/>
      <c r="I27" s="297"/>
      <c r="J27" s="297"/>
    </row>
    <row r="28" spans="1:10" s="189" customFormat="1" ht="57.6" customHeight="1">
      <c r="A28" s="297" t="s">
        <v>1213</v>
      </c>
      <c r="B28" s="297"/>
      <c r="C28" s="297"/>
      <c r="D28" s="297"/>
      <c r="E28" s="297"/>
      <c r="F28" s="297"/>
      <c r="G28" s="297"/>
      <c r="H28" s="297"/>
      <c r="I28" s="297"/>
      <c r="J28" s="297"/>
    </row>
    <row r="29" spans="1:10" s="189" customFormat="1" ht="57.6" customHeight="1">
      <c r="A29" s="297" t="s">
        <v>1214</v>
      </c>
      <c r="B29" s="297"/>
      <c r="C29" s="297"/>
      <c r="D29" s="297"/>
      <c r="E29" s="297"/>
      <c r="F29" s="297"/>
      <c r="G29" s="297"/>
      <c r="H29" s="297"/>
      <c r="I29" s="297"/>
      <c r="J29" s="297"/>
    </row>
    <row r="30" spans="1:10" s="189" customFormat="1" ht="57.6" customHeight="1">
      <c r="A30" s="297" t="s">
        <v>1215</v>
      </c>
      <c r="B30" s="297"/>
      <c r="C30" s="297"/>
      <c r="D30" s="297"/>
      <c r="E30" s="297"/>
      <c r="F30" s="297"/>
      <c r="G30" s="297"/>
      <c r="H30" s="297"/>
      <c r="I30" s="297"/>
      <c r="J30" s="297"/>
    </row>
    <row r="31" spans="1:10" s="189" customFormat="1" ht="57.6" customHeight="1">
      <c r="A31" s="297" t="s">
        <v>1216</v>
      </c>
      <c r="B31" s="297"/>
      <c r="C31" s="297"/>
      <c r="D31" s="297"/>
      <c r="E31" s="297"/>
      <c r="F31" s="297"/>
      <c r="G31" s="297"/>
      <c r="H31" s="297"/>
      <c r="I31" s="297"/>
      <c r="J31" s="297"/>
    </row>
    <row r="32" spans="1:10" s="189" customFormat="1" ht="57.6" customHeight="1">
      <c r="A32" s="297" t="s">
        <v>1217</v>
      </c>
      <c r="B32" s="297"/>
      <c r="C32" s="297"/>
      <c r="D32" s="297"/>
      <c r="E32" s="297"/>
      <c r="F32" s="297"/>
      <c r="G32" s="297"/>
      <c r="H32" s="297"/>
      <c r="I32" s="297"/>
      <c r="J32" s="297"/>
    </row>
    <row r="33" spans="1:10" s="189" customFormat="1" ht="57.6" customHeight="1">
      <c r="A33" s="297" t="s">
        <v>1218</v>
      </c>
      <c r="B33" s="297"/>
      <c r="C33" s="297"/>
      <c r="D33" s="297"/>
      <c r="E33" s="297"/>
      <c r="F33" s="297"/>
      <c r="G33" s="297"/>
      <c r="H33" s="297"/>
      <c r="I33" s="297"/>
      <c r="J33" s="297"/>
    </row>
    <row r="34" spans="1:10" s="189" customFormat="1" ht="57.6" customHeight="1">
      <c r="A34" s="297" t="s">
        <v>1219</v>
      </c>
      <c r="B34" s="297"/>
      <c r="C34" s="297"/>
      <c r="D34" s="297"/>
      <c r="E34" s="297"/>
      <c r="F34" s="297"/>
      <c r="G34" s="297"/>
      <c r="H34" s="297"/>
      <c r="I34" s="297"/>
      <c r="J34" s="297"/>
    </row>
    <row r="35" spans="1:10" s="189" customFormat="1" ht="57.6" customHeight="1">
      <c r="A35" s="297" t="s">
        <v>1220</v>
      </c>
      <c r="B35" s="297"/>
      <c r="C35" s="297"/>
      <c r="D35" s="297"/>
      <c r="E35" s="297"/>
      <c r="F35" s="297"/>
      <c r="G35" s="297"/>
      <c r="H35" s="297"/>
      <c r="I35" s="297"/>
      <c r="J35" s="297"/>
    </row>
    <row r="36" spans="1:10" s="189" customFormat="1" ht="57.6" customHeight="1">
      <c r="A36" s="297" t="s">
        <v>1221</v>
      </c>
      <c r="B36" s="297"/>
      <c r="C36" s="297"/>
      <c r="D36" s="297"/>
      <c r="E36" s="297"/>
      <c r="F36" s="297"/>
      <c r="G36" s="297"/>
      <c r="H36" s="297"/>
      <c r="I36" s="297"/>
      <c r="J36" s="297"/>
    </row>
    <row r="37" spans="1:10" s="189" customFormat="1" ht="57.6" customHeight="1">
      <c r="A37" s="297" t="s">
        <v>1222</v>
      </c>
      <c r="B37" s="297"/>
      <c r="C37" s="297"/>
      <c r="D37" s="297"/>
      <c r="E37" s="297"/>
      <c r="F37" s="297"/>
      <c r="G37" s="297"/>
      <c r="H37" s="297"/>
      <c r="I37" s="297"/>
      <c r="J37" s="297"/>
    </row>
    <row r="38" spans="1:10" s="189" customFormat="1" ht="57.6" customHeight="1">
      <c r="A38" s="297" t="s">
        <v>1223</v>
      </c>
      <c r="B38" s="297"/>
      <c r="C38" s="297"/>
      <c r="D38" s="297"/>
      <c r="E38" s="297"/>
      <c r="F38" s="297"/>
      <c r="G38" s="297"/>
      <c r="H38" s="297"/>
      <c r="I38" s="297"/>
      <c r="J38" s="297"/>
    </row>
    <row r="39" spans="1:10" s="189" customFormat="1" ht="57.6" customHeight="1">
      <c r="A39" s="297" t="s">
        <v>1224</v>
      </c>
      <c r="B39" s="297"/>
      <c r="C39" s="297"/>
      <c r="D39" s="297"/>
      <c r="E39" s="297"/>
      <c r="F39" s="297"/>
      <c r="G39" s="297"/>
      <c r="H39" s="297"/>
      <c r="I39" s="297"/>
      <c r="J39" s="297"/>
    </row>
    <row r="40" spans="1:10" s="189" customFormat="1" ht="57.6" customHeight="1">
      <c r="A40" s="297" t="s">
        <v>1225</v>
      </c>
      <c r="B40" s="297"/>
      <c r="C40" s="297"/>
      <c r="D40" s="297"/>
      <c r="E40" s="297"/>
      <c r="F40" s="297"/>
      <c r="G40" s="297"/>
      <c r="H40" s="297"/>
      <c r="I40" s="297"/>
      <c r="J40" s="297"/>
    </row>
    <row r="41" spans="1:10" s="189" customFormat="1" ht="57.6" customHeight="1">
      <c r="A41" s="297" t="s">
        <v>1226</v>
      </c>
      <c r="B41" s="297"/>
      <c r="C41" s="297"/>
      <c r="D41" s="297"/>
      <c r="E41" s="297"/>
      <c r="F41" s="297"/>
      <c r="G41" s="297"/>
      <c r="H41" s="297"/>
      <c r="I41" s="297"/>
      <c r="J41" s="297"/>
    </row>
    <row r="42" spans="1:10" s="189" customFormat="1" ht="57.6" customHeight="1">
      <c r="A42" s="297" t="s">
        <v>1227</v>
      </c>
      <c r="B42" s="297"/>
      <c r="C42" s="297"/>
      <c r="D42" s="297"/>
      <c r="E42" s="297"/>
      <c r="F42" s="297"/>
      <c r="G42" s="297"/>
      <c r="H42" s="297"/>
      <c r="I42" s="297"/>
      <c r="J42" s="297"/>
    </row>
    <row r="43" spans="1:10" s="189" customFormat="1" ht="57.6" customHeight="1">
      <c r="A43" s="297" t="s">
        <v>1228</v>
      </c>
      <c r="B43" s="297"/>
      <c r="C43" s="297"/>
      <c r="D43" s="297"/>
      <c r="E43" s="297"/>
      <c r="F43" s="297"/>
      <c r="G43" s="297"/>
      <c r="H43" s="297"/>
      <c r="I43" s="297"/>
      <c r="J43" s="297"/>
    </row>
    <row r="44" spans="1:10" s="189" customFormat="1" ht="57.6" customHeight="1">
      <c r="A44" s="297" t="s">
        <v>1229</v>
      </c>
      <c r="B44" s="297"/>
      <c r="C44" s="297"/>
      <c r="D44" s="297"/>
      <c r="E44" s="297"/>
      <c r="F44" s="297"/>
      <c r="G44" s="297"/>
      <c r="H44" s="297"/>
      <c r="I44" s="297"/>
      <c r="J44" s="297"/>
    </row>
    <row r="45" spans="1:10" s="189" customFormat="1" ht="57.6" customHeight="1">
      <c r="A45" s="297" t="s">
        <v>1230</v>
      </c>
      <c r="B45" s="297"/>
      <c r="C45" s="297"/>
      <c r="D45" s="297"/>
      <c r="E45" s="297"/>
      <c r="F45" s="297"/>
      <c r="G45" s="297"/>
      <c r="H45" s="297"/>
      <c r="I45" s="297"/>
      <c r="J45" s="297"/>
    </row>
    <row r="46" spans="1:10" s="189" customFormat="1" ht="78" customHeight="1">
      <c r="A46" s="297" t="s">
        <v>1231</v>
      </c>
      <c r="B46" s="297"/>
      <c r="C46" s="297"/>
      <c r="D46" s="297"/>
      <c r="E46" s="297"/>
      <c r="F46" s="297"/>
      <c r="G46" s="297"/>
      <c r="H46" s="297"/>
      <c r="I46" s="297"/>
      <c r="J46" s="297"/>
    </row>
    <row r="47" spans="1:10" s="189" customFormat="1" ht="57.6" customHeight="1">
      <c r="A47" s="297" t="s">
        <v>1232</v>
      </c>
      <c r="B47" s="297"/>
      <c r="C47" s="297"/>
      <c r="D47" s="297"/>
      <c r="E47" s="297"/>
      <c r="F47" s="297"/>
      <c r="G47" s="297"/>
      <c r="H47" s="297"/>
      <c r="I47" s="297"/>
      <c r="J47" s="297"/>
    </row>
    <row r="48" spans="1:10" s="189" customFormat="1" ht="57.6" customHeight="1">
      <c r="A48" s="297" t="s">
        <v>1233</v>
      </c>
      <c r="B48" s="297"/>
      <c r="C48" s="297"/>
      <c r="D48" s="297"/>
      <c r="E48" s="297"/>
      <c r="F48" s="297"/>
      <c r="G48" s="297"/>
      <c r="H48" s="297"/>
      <c r="I48" s="297"/>
      <c r="J48" s="297"/>
    </row>
    <row r="49" spans="1:10" s="189" customFormat="1" ht="72" customHeight="1">
      <c r="A49" s="303" t="s">
        <v>1234</v>
      </c>
      <c r="B49" s="303"/>
      <c r="C49" s="303"/>
      <c r="D49" s="303"/>
      <c r="E49" s="303"/>
      <c r="F49" s="303"/>
      <c r="G49" s="303"/>
      <c r="H49" s="303"/>
      <c r="I49" s="303"/>
      <c r="J49" s="303"/>
    </row>
    <row r="50" spans="1:10" s="189" customFormat="1" ht="125.1" customHeight="1">
      <c r="A50" s="303" t="s">
        <v>1235</v>
      </c>
      <c r="B50" s="303"/>
      <c r="C50" s="303"/>
      <c r="D50" s="303"/>
      <c r="E50" s="303"/>
      <c r="F50" s="303"/>
      <c r="G50" s="303"/>
      <c r="H50" s="303"/>
      <c r="I50" s="303"/>
      <c r="J50" s="303"/>
    </row>
    <row r="51" spans="1:10" s="189" customFormat="1" ht="57.6" customHeight="1">
      <c r="A51" s="303" t="s">
        <v>1236</v>
      </c>
      <c r="B51" s="303"/>
      <c r="C51" s="303"/>
      <c r="D51" s="303"/>
      <c r="E51" s="303"/>
      <c r="F51" s="303"/>
      <c r="G51" s="303"/>
      <c r="H51" s="303"/>
      <c r="I51" s="303"/>
      <c r="J51" s="303"/>
    </row>
    <row r="52" spans="1:10" s="189" customFormat="1" ht="57.6" customHeight="1">
      <c r="A52" s="297" t="s">
        <v>1237</v>
      </c>
      <c r="B52" s="297"/>
      <c r="C52" s="297"/>
      <c r="D52" s="297"/>
      <c r="E52" s="297"/>
      <c r="F52" s="297"/>
      <c r="G52" s="297"/>
      <c r="H52" s="297"/>
      <c r="I52" s="297"/>
      <c r="J52" s="297"/>
    </row>
    <row r="53" spans="1:10" s="189" customFormat="1" ht="57.6" customHeight="1">
      <c r="A53" s="297" t="s">
        <v>1238</v>
      </c>
      <c r="B53" s="297"/>
      <c r="C53" s="297"/>
      <c r="D53" s="297"/>
      <c r="E53" s="297"/>
      <c r="F53" s="297"/>
      <c r="G53" s="297"/>
      <c r="H53" s="297"/>
      <c r="I53" s="297"/>
      <c r="J53" s="297"/>
    </row>
    <row r="54" spans="1:10" s="189" customFormat="1" ht="57.6" customHeight="1">
      <c r="A54" s="297" t="s">
        <v>1239</v>
      </c>
      <c r="B54" s="297"/>
      <c r="C54" s="297"/>
      <c r="D54" s="297"/>
      <c r="E54" s="297"/>
      <c r="F54" s="297"/>
      <c r="G54" s="297"/>
      <c r="H54" s="297"/>
      <c r="I54" s="297"/>
      <c r="J54" s="297"/>
    </row>
    <row r="55" spans="1:10" s="189" customFormat="1" ht="57.6" customHeight="1">
      <c r="A55" s="297" t="s">
        <v>1240</v>
      </c>
      <c r="B55" s="297"/>
      <c r="C55" s="297"/>
      <c r="D55" s="297"/>
      <c r="E55" s="297"/>
      <c r="F55" s="297"/>
      <c r="G55" s="297"/>
      <c r="H55" s="297"/>
      <c r="I55" s="297"/>
      <c r="J55" s="297"/>
    </row>
    <row r="56" spans="1:10" s="189" customFormat="1" ht="80.099999999999994" customHeight="1">
      <c r="A56" s="297" t="s">
        <v>1241</v>
      </c>
      <c r="B56" s="297"/>
      <c r="C56" s="297"/>
      <c r="D56" s="297"/>
      <c r="E56" s="297"/>
      <c r="F56" s="297"/>
      <c r="G56" s="297"/>
      <c r="H56" s="297"/>
      <c r="I56" s="297"/>
      <c r="J56" s="297"/>
    </row>
    <row r="57" spans="1:10" s="189" customFormat="1" ht="57.6" customHeight="1">
      <c r="A57" s="297" t="s">
        <v>1242</v>
      </c>
      <c r="B57" s="297"/>
      <c r="C57" s="297"/>
      <c r="D57" s="297"/>
      <c r="E57" s="297"/>
      <c r="F57" s="297"/>
      <c r="G57" s="297"/>
      <c r="H57" s="297"/>
      <c r="I57" s="297"/>
      <c r="J57" s="297"/>
    </row>
    <row r="58" spans="1:10" s="189" customFormat="1" ht="57.6" customHeight="1">
      <c r="A58" s="297" t="s">
        <v>1243</v>
      </c>
      <c r="B58" s="297"/>
      <c r="C58" s="297"/>
      <c r="D58" s="297"/>
      <c r="E58" s="297"/>
      <c r="F58" s="297"/>
      <c r="G58" s="297"/>
      <c r="H58" s="297"/>
      <c r="I58" s="297"/>
      <c r="J58" s="297"/>
    </row>
    <row r="59" spans="1:10" s="189" customFormat="1" ht="57.6" customHeight="1">
      <c r="A59" s="297" t="s">
        <v>1244</v>
      </c>
      <c r="B59" s="297"/>
      <c r="C59" s="297"/>
      <c r="D59" s="297"/>
      <c r="E59" s="297"/>
      <c r="F59" s="297"/>
      <c r="G59" s="297"/>
      <c r="H59" s="297"/>
      <c r="I59" s="297"/>
      <c r="J59" s="297"/>
    </row>
    <row r="60" spans="1:10" s="189" customFormat="1" ht="57.6" customHeight="1">
      <c r="A60" s="297" t="s">
        <v>1245</v>
      </c>
      <c r="B60" s="297"/>
      <c r="C60" s="297"/>
      <c r="D60" s="297"/>
      <c r="E60" s="297"/>
      <c r="F60" s="297"/>
      <c r="G60" s="297"/>
      <c r="H60" s="297"/>
      <c r="I60" s="297"/>
      <c r="J60" s="297"/>
    </row>
    <row r="61" spans="1:10" s="189" customFormat="1" ht="57.6" customHeight="1">
      <c r="A61" s="297" t="s">
        <v>1246</v>
      </c>
      <c r="B61" s="297"/>
      <c r="C61" s="297"/>
      <c r="D61" s="297"/>
      <c r="E61" s="297"/>
      <c r="F61" s="297"/>
      <c r="G61" s="297"/>
      <c r="H61" s="297"/>
      <c r="I61" s="297"/>
      <c r="J61" s="297"/>
    </row>
    <row r="62" spans="1:10" s="189" customFormat="1" ht="57.6" customHeight="1">
      <c r="A62" s="297" t="s">
        <v>1247</v>
      </c>
      <c r="B62" s="297"/>
      <c r="C62" s="297"/>
      <c r="D62" s="297"/>
      <c r="E62" s="297"/>
      <c r="F62" s="297"/>
      <c r="G62" s="297"/>
      <c r="H62" s="297"/>
      <c r="I62" s="297"/>
      <c r="J62" s="297"/>
    </row>
    <row r="63" spans="1:10" s="189" customFormat="1" ht="57.6" customHeight="1">
      <c r="A63" s="297" t="s">
        <v>1248</v>
      </c>
      <c r="B63" s="297"/>
      <c r="C63" s="297"/>
      <c r="D63" s="297"/>
      <c r="E63" s="297"/>
      <c r="F63" s="297"/>
      <c r="G63" s="297"/>
      <c r="H63" s="297"/>
      <c r="I63" s="297"/>
      <c r="J63" s="297"/>
    </row>
    <row r="64" spans="1:10" s="189" customFormat="1" ht="57.6" customHeight="1">
      <c r="A64" s="297" t="s">
        <v>1249</v>
      </c>
      <c r="B64" s="297"/>
      <c r="C64" s="297"/>
      <c r="D64" s="297"/>
      <c r="E64" s="297"/>
      <c r="F64" s="297"/>
      <c r="G64" s="297"/>
      <c r="H64" s="297"/>
      <c r="I64" s="297"/>
      <c r="J64" s="297"/>
    </row>
    <row r="65" spans="1:10" s="189" customFormat="1" ht="57.6" customHeight="1">
      <c r="A65" s="297" t="s">
        <v>1250</v>
      </c>
      <c r="B65" s="297"/>
      <c r="C65" s="297"/>
      <c r="D65" s="297"/>
      <c r="E65" s="297"/>
      <c r="F65" s="297"/>
      <c r="G65" s="297"/>
      <c r="H65" s="297"/>
      <c r="I65" s="297"/>
      <c r="J65" s="297"/>
    </row>
    <row r="66" spans="1:10" s="189" customFormat="1" ht="57.6" customHeight="1">
      <c r="A66" s="297" t="s">
        <v>1251</v>
      </c>
      <c r="B66" s="297"/>
      <c r="C66" s="297"/>
      <c r="D66" s="297"/>
      <c r="E66" s="297"/>
      <c r="F66" s="297"/>
      <c r="G66" s="297"/>
      <c r="H66" s="297"/>
      <c r="I66" s="297"/>
      <c r="J66" s="297"/>
    </row>
    <row r="67" spans="1:10" s="189" customFormat="1" ht="75.95" customHeight="1">
      <c r="A67" s="297" t="s">
        <v>1252</v>
      </c>
      <c r="B67" s="297"/>
      <c r="C67" s="297"/>
      <c r="D67" s="297"/>
      <c r="E67" s="297"/>
      <c r="F67" s="297"/>
      <c r="G67" s="297"/>
      <c r="H67" s="297"/>
      <c r="I67" s="297"/>
      <c r="J67" s="297"/>
    </row>
    <row r="68" spans="1:10" s="189" customFormat="1" ht="57.6" customHeight="1">
      <c r="A68" s="297" t="s">
        <v>1253</v>
      </c>
      <c r="B68" s="297"/>
      <c r="C68" s="297"/>
      <c r="D68" s="297"/>
      <c r="E68" s="297"/>
      <c r="F68" s="297"/>
      <c r="G68" s="297"/>
      <c r="H68" s="297"/>
      <c r="I68" s="297"/>
      <c r="J68" s="297"/>
    </row>
    <row r="69" spans="1:10" s="189" customFormat="1" ht="57.6" customHeight="1">
      <c r="A69" s="297" t="s">
        <v>1254</v>
      </c>
      <c r="B69" s="297"/>
      <c r="C69" s="297"/>
      <c r="D69" s="297"/>
      <c r="E69" s="297"/>
      <c r="F69" s="297"/>
      <c r="G69" s="297"/>
      <c r="H69" s="297"/>
      <c r="I69" s="297"/>
      <c r="J69" s="297"/>
    </row>
    <row r="70" spans="1:10" s="189" customFormat="1" ht="57.6" customHeight="1">
      <c r="A70" s="297" t="s">
        <v>1255</v>
      </c>
      <c r="B70" s="297"/>
      <c r="C70" s="297"/>
      <c r="D70" s="297"/>
      <c r="E70" s="297"/>
      <c r="F70" s="297"/>
      <c r="G70" s="297"/>
      <c r="H70" s="297"/>
      <c r="I70" s="297"/>
      <c r="J70" s="297"/>
    </row>
    <row r="71" spans="1:10" s="189" customFormat="1" ht="57.6" customHeight="1">
      <c r="A71" s="297" t="s">
        <v>1256</v>
      </c>
      <c r="B71" s="297"/>
      <c r="C71" s="297"/>
      <c r="D71" s="297"/>
      <c r="E71" s="297"/>
      <c r="F71" s="297"/>
      <c r="G71" s="297"/>
      <c r="H71" s="297"/>
      <c r="I71" s="297"/>
      <c r="J71" s="297"/>
    </row>
    <row r="72" spans="1:10" s="189" customFormat="1" ht="57.6" customHeight="1">
      <c r="A72" s="297" t="s">
        <v>1257</v>
      </c>
      <c r="B72" s="297"/>
      <c r="C72" s="297"/>
      <c r="D72" s="297"/>
      <c r="E72" s="297"/>
      <c r="F72" s="297"/>
      <c r="G72" s="297"/>
      <c r="H72" s="297"/>
      <c r="I72" s="297"/>
      <c r="J72" s="297"/>
    </row>
    <row r="73" spans="1:10" s="189" customFormat="1" ht="57.6" customHeight="1">
      <c r="A73" s="297" t="s">
        <v>1258</v>
      </c>
      <c r="B73" s="297"/>
      <c r="C73" s="297"/>
      <c r="D73" s="297"/>
      <c r="E73" s="297"/>
      <c r="F73" s="297"/>
      <c r="G73" s="297"/>
      <c r="H73" s="297"/>
      <c r="I73" s="297"/>
      <c r="J73" s="297"/>
    </row>
    <row r="74" spans="1:10" s="189" customFormat="1" ht="57.6" customHeight="1">
      <c r="A74" s="302" t="s">
        <v>1259</v>
      </c>
      <c r="B74" s="302"/>
      <c r="C74" s="302"/>
      <c r="D74" s="302"/>
      <c r="E74" s="302"/>
      <c r="F74" s="302"/>
      <c r="G74" s="302"/>
      <c r="H74" s="302"/>
      <c r="I74" s="302"/>
      <c r="J74" s="302"/>
    </row>
    <row r="75" spans="1:10" s="189" customFormat="1" ht="57.6" customHeight="1">
      <c r="A75" s="302" t="s">
        <v>1260</v>
      </c>
      <c r="B75" s="302"/>
      <c r="C75" s="302"/>
      <c r="D75" s="302"/>
      <c r="E75" s="302"/>
      <c r="F75" s="302"/>
      <c r="G75" s="302"/>
      <c r="H75" s="302"/>
      <c r="I75" s="302"/>
      <c r="J75" s="302"/>
    </row>
    <row r="76" spans="1:10" s="189" customFormat="1" ht="57.6" customHeight="1">
      <c r="A76" s="297" t="s">
        <v>1261</v>
      </c>
      <c r="B76" s="297"/>
      <c r="C76" s="297"/>
      <c r="D76" s="297"/>
      <c r="E76" s="297"/>
      <c r="F76" s="297"/>
      <c r="G76" s="297"/>
      <c r="H76" s="297"/>
      <c r="I76" s="297"/>
      <c r="J76" s="297"/>
    </row>
    <row r="77" spans="1:10" s="189" customFormat="1" ht="57.6" customHeight="1">
      <c r="A77" s="297" t="s">
        <v>1262</v>
      </c>
      <c r="B77" s="297"/>
      <c r="C77" s="297"/>
      <c r="D77" s="297"/>
      <c r="E77" s="297"/>
      <c r="F77" s="297"/>
      <c r="G77" s="297"/>
      <c r="H77" s="297"/>
      <c r="I77" s="297"/>
      <c r="J77" s="297"/>
    </row>
    <row r="78" spans="1:10" s="189" customFormat="1" ht="57.6" customHeight="1">
      <c r="A78" s="297" t="s">
        <v>1263</v>
      </c>
      <c r="B78" s="297"/>
      <c r="C78" s="297"/>
      <c r="D78" s="297"/>
      <c r="E78" s="297"/>
      <c r="F78" s="297"/>
      <c r="G78" s="297"/>
      <c r="H78" s="297"/>
      <c r="I78" s="297"/>
      <c r="J78" s="297"/>
    </row>
    <row r="79" spans="1:10" s="189" customFormat="1" ht="57.6" customHeight="1">
      <c r="A79" s="297" t="s">
        <v>1264</v>
      </c>
      <c r="B79" s="297"/>
      <c r="C79" s="297"/>
      <c r="D79" s="297"/>
      <c r="E79" s="297"/>
      <c r="F79" s="297"/>
      <c r="G79" s="297"/>
      <c r="H79" s="297"/>
      <c r="I79" s="297"/>
      <c r="J79" s="297"/>
    </row>
    <row r="80" spans="1:10" s="189" customFormat="1" ht="57.6" customHeight="1">
      <c r="A80" s="297" t="s">
        <v>1265</v>
      </c>
      <c r="B80" s="297"/>
      <c r="C80" s="297"/>
      <c r="D80" s="297"/>
      <c r="E80" s="297"/>
      <c r="F80" s="297"/>
      <c r="G80" s="297"/>
      <c r="H80" s="297"/>
      <c r="I80" s="297"/>
      <c r="J80" s="297"/>
    </row>
    <row r="81" spans="1:10" s="189" customFormat="1" ht="57.6" customHeight="1">
      <c r="A81" s="303" t="s">
        <v>1266</v>
      </c>
      <c r="B81" s="303"/>
      <c r="C81" s="303"/>
      <c r="D81" s="303"/>
      <c r="E81" s="303"/>
      <c r="F81" s="303"/>
      <c r="G81" s="303"/>
      <c r="H81" s="303"/>
      <c r="I81" s="303"/>
      <c r="J81" s="303"/>
    </row>
    <row r="82" spans="1:10" s="189" customFormat="1" ht="69.95" customHeight="1">
      <c r="A82" s="303" t="s">
        <v>1267</v>
      </c>
      <c r="B82" s="303"/>
      <c r="C82" s="303"/>
      <c r="D82" s="303"/>
      <c r="E82" s="303"/>
      <c r="F82" s="303"/>
      <c r="G82" s="303"/>
      <c r="H82" s="303"/>
      <c r="I82" s="303"/>
      <c r="J82" s="303"/>
    </row>
    <row r="83" spans="1:10" s="189" customFormat="1" ht="57.6" customHeight="1">
      <c r="A83" s="297" t="s">
        <v>1268</v>
      </c>
      <c r="B83" s="297"/>
      <c r="C83" s="297"/>
      <c r="D83" s="297"/>
      <c r="E83" s="297"/>
      <c r="F83" s="297"/>
      <c r="G83" s="297"/>
      <c r="H83" s="297"/>
      <c r="I83" s="297"/>
      <c r="J83" s="297"/>
    </row>
    <row r="84" spans="1:10" s="189" customFormat="1" ht="57.6" customHeight="1">
      <c r="A84" s="297" t="s">
        <v>1269</v>
      </c>
      <c r="B84" s="297"/>
      <c r="C84" s="297"/>
      <c r="D84" s="297"/>
      <c r="E84" s="297"/>
      <c r="F84" s="297"/>
      <c r="G84" s="297"/>
      <c r="H84" s="297"/>
      <c r="I84" s="297"/>
      <c r="J84" s="297"/>
    </row>
    <row r="85" spans="1:10" s="189" customFormat="1" ht="57.6" customHeight="1">
      <c r="A85" s="303" t="s">
        <v>1270</v>
      </c>
      <c r="B85" s="303"/>
      <c r="C85" s="303"/>
      <c r="D85" s="303"/>
      <c r="E85" s="303"/>
      <c r="F85" s="303"/>
      <c r="G85" s="303"/>
      <c r="H85" s="303"/>
      <c r="I85" s="303"/>
      <c r="J85" s="303"/>
    </row>
    <row r="86" spans="1:10" s="189" customFormat="1" ht="57.6" customHeight="1">
      <c r="A86" s="297" t="s">
        <v>1271</v>
      </c>
      <c r="B86" s="297"/>
      <c r="C86" s="297"/>
      <c r="D86" s="297"/>
      <c r="E86" s="297"/>
      <c r="F86" s="297"/>
      <c r="G86" s="297"/>
      <c r="H86" s="297"/>
      <c r="I86" s="297"/>
      <c r="J86" s="297"/>
    </row>
    <row r="87" spans="1:10" s="189" customFormat="1" ht="57.6" customHeight="1">
      <c r="A87" s="297" t="s">
        <v>1272</v>
      </c>
      <c r="B87" s="297"/>
      <c r="C87" s="297"/>
      <c r="D87" s="297"/>
      <c r="E87" s="297"/>
      <c r="F87" s="297"/>
      <c r="G87" s="297"/>
      <c r="H87" s="297"/>
      <c r="I87" s="297"/>
      <c r="J87" s="297"/>
    </row>
    <row r="88" spans="1:10" s="189" customFormat="1" ht="57.6" customHeight="1">
      <c r="A88" s="297" t="s">
        <v>1273</v>
      </c>
      <c r="B88" s="297"/>
      <c r="C88" s="297"/>
      <c r="D88" s="297"/>
      <c r="E88" s="297"/>
      <c r="F88" s="297"/>
      <c r="G88" s="297"/>
      <c r="H88" s="297"/>
      <c r="I88" s="297"/>
      <c r="J88" s="297"/>
    </row>
    <row r="89" spans="1:10" s="189" customFormat="1" ht="57.6" customHeight="1">
      <c r="A89" s="297" t="s">
        <v>1274</v>
      </c>
      <c r="B89" s="297"/>
      <c r="C89" s="297"/>
      <c r="D89" s="297"/>
      <c r="E89" s="297"/>
      <c r="F89" s="297"/>
      <c r="G89" s="297"/>
      <c r="H89" s="297"/>
      <c r="I89" s="297"/>
      <c r="J89" s="297"/>
    </row>
    <row r="90" spans="1:10" s="189" customFormat="1" ht="57.6" customHeight="1">
      <c r="A90" s="297" t="s">
        <v>1275</v>
      </c>
      <c r="B90" s="297"/>
      <c r="C90" s="297"/>
      <c r="D90" s="297"/>
      <c r="E90" s="297"/>
      <c r="F90" s="297"/>
      <c r="G90" s="297"/>
      <c r="H90" s="297"/>
      <c r="I90" s="297"/>
      <c r="J90" s="297"/>
    </row>
    <row r="91" spans="1:10" s="189" customFormat="1" ht="57.6" customHeight="1">
      <c r="A91" s="297" t="s">
        <v>1276</v>
      </c>
      <c r="B91" s="297"/>
      <c r="C91" s="297"/>
      <c r="D91" s="297"/>
      <c r="E91" s="297"/>
      <c r="F91" s="297"/>
      <c r="G91" s="297"/>
      <c r="H91" s="297"/>
      <c r="I91" s="297"/>
      <c r="J91" s="297"/>
    </row>
    <row r="92" spans="1:10" s="189" customFormat="1" ht="57.6" customHeight="1">
      <c r="A92" s="297" t="s">
        <v>1277</v>
      </c>
      <c r="B92" s="297"/>
      <c r="C92" s="297"/>
      <c r="D92" s="297"/>
      <c r="E92" s="297"/>
      <c r="F92" s="297"/>
      <c r="G92" s="297"/>
      <c r="H92" s="297"/>
      <c r="I92" s="297"/>
      <c r="J92" s="297"/>
    </row>
    <row r="93" spans="1:10" s="189" customFormat="1" ht="90.95" customHeight="1">
      <c r="A93" s="297" t="s">
        <v>1278</v>
      </c>
      <c r="B93" s="297"/>
      <c r="C93" s="297"/>
      <c r="D93" s="297"/>
      <c r="E93" s="297"/>
      <c r="F93" s="297"/>
      <c r="G93" s="297"/>
      <c r="H93" s="297"/>
      <c r="I93" s="297"/>
      <c r="J93" s="297"/>
    </row>
    <row r="94" spans="1:10" s="189" customFormat="1" ht="57.6" customHeight="1">
      <c r="A94" s="297" t="s">
        <v>1279</v>
      </c>
      <c r="B94" s="297"/>
      <c r="C94" s="297"/>
      <c r="D94" s="297"/>
      <c r="E94" s="297"/>
      <c r="F94" s="297"/>
      <c r="G94" s="297"/>
      <c r="H94" s="297"/>
      <c r="I94" s="297"/>
      <c r="J94" s="297"/>
    </row>
    <row r="95" spans="1:10" s="189" customFormat="1" ht="57.6" customHeight="1">
      <c r="A95" s="297" t="s">
        <v>1280</v>
      </c>
      <c r="B95" s="297"/>
      <c r="C95" s="297"/>
      <c r="D95" s="297"/>
      <c r="E95" s="297"/>
      <c r="F95" s="297"/>
      <c r="G95" s="297"/>
      <c r="H95" s="297"/>
      <c r="I95" s="297"/>
      <c r="J95" s="297"/>
    </row>
    <row r="96" spans="1:10" s="189" customFormat="1" ht="57.6" customHeight="1">
      <c r="A96" s="297" t="s">
        <v>1281</v>
      </c>
      <c r="B96" s="297"/>
      <c r="C96" s="297"/>
      <c r="D96" s="297"/>
      <c r="E96" s="297"/>
      <c r="F96" s="297"/>
      <c r="G96" s="297"/>
      <c r="H96" s="297"/>
      <c r="I96" s="297"/>
      <c r="J96" s="297"/>
    </row>
    <row r="97" spans="1:10" s="189" customFormat="1" ht="57.6" customHeight="1">
      <c r="A97" s="297" t="s">
        <v>1282</v>
      </c>
      <c r="B97" s="297"/>
      <c r="C97" s="297"/>
      <c r="D97" s="297"/>
      <c r="E97" s="297"/>
      <c r="F97" s="297"/>
      <c r="G97" s="297"/>
      <c r="H97" s="297"/>
      <c r="I97" s="297"/>
      <c r="J97" s="297"/>
    </row>
    <row r="98" spans="1:10" s="189" customFormat="1" ht="57.6" customHeight="1">
      <c r="A98" s="299" t="s">
        <v>1283</v>
      </c>
      <c r="B98" s="299"/>
      <c r="C98" s="299"/>
      <c r="D98" s="299"/>
      <c r="E98" s="299"/>
      <c r="F98" s="299"/>
      <c r="G98" s="299"/>
      <c r="H98" s="299"/>
      <c r="I98" s="299"/>
      <c r="J98" s="299"/>
    </row>
    <row r="99" spans="1:10" s="189" customFormat="1" ht="57.6" customHeight="1">
      <c r="A99" s="299" t="s">
        <v>1284</v>
      </c>
      <c r="B99" s="299"/>
      <c r="C99" s="299"/>
      <c r="D99" s="299"/>
      <c r="E99" s="299"/>
      <c r="F99" s="299"/>
      <c r="G99" s="299"/>
      <c r="H99" s="299"/>
      <c r="I99" s="299"/>
      <c r="J99" s="299"/>
    </row>
    <row r="100" spans="1:10" s="189" customFormat="1" ht="57.6" customHeight="1">
      <c r="A100" s="299" t="s">
        <v>1285</v>
      </c>
      <c r="B100" s="299"/>
      <c r="C100" s="299"/>
      <c r="D100" s="299"/>
      <c r="E100" s="299"/>
      <c r="F100" s="299"/>
      <c r="G100" s="299"/>
      <c r="H100" s="299"/>
      <c r="I100" s="299"/>
      <c r="J100" s="299"/>
    </row>
    <row r="101" spans="1:10" s="189" customFormat="1" ht="57.6" customHeight="1">
      <c r="A101" s="297" t="s">
        <v>1286</v>
      </c>
      <c r="B101" s="297"/>
      <c r="C101" s="297"/>
      <c r="D101" s="297"/>
      <c r="E101" s="297"/>
      <c r="F101" s="297"/>
      <c r="G101" s="297"/>
      <c r="H101" s="297"/>
      <c r="I101" s="297"/>
      <c r="J101" s="297"/>
    </row>
    <row r="102" spans="1:10" s="189" customFormat="1" ht="57.6" customHeight="1">
      <c r="A102" s="297" t="s">
        <v>1287</v>
      </c>
      <c r="B102" s="297"/>
      <c r="C102" s="297"/>
      <c r="D102" s="297"/>
      <c r="E102" s="297"/>
      <c r="F102" s="297"/>
      <c r="G102" s="297"/>
      <c r="H102" s="297"/>
      <c r="I102" s="297"/>
      <c r="J102" s="297"/>
    </row>
    <row r="103" spans="1:10" s="189" customFormat="1" ht="57.6" customHeight="1">
      <c r="A103" s="302" t="s">
        <v>1288</v>
      </c>
      <c r="B103" s="302"/>
      <c r="C103" s="302"/>
      <c r="D103" s="302"/>
      <c r="E103" s="302"/>
      <c r="F103" s="302"/>
      <c r="G103" s="302"/>
      <c r="H103" s="302"/>
      <c r="I103" s="302"/>
      <c r="J103" s="302"/>
    </row>
    <row r="104" spans="1:10" s="189" customFormat="1" ht="57.6" customHeight="1">
      <c r="A104" s="302" t="s">
        <v>1289</v>
      </c>
      <c r="B104" s="302"/>
      <c r="C104" s="302"/>
      <c r="D104" s="302"/>
      <c r="E104" s="302"/>
      <c r="F104" s="302"/>
      <c r="G104" s="302"/>
      <c r="H104" s="302"/>
      <c r="I104" s="302"/>
      <c r="J104" s="302"/>
    </row>
    <row r="105" spans="1:10" s="189" customFormat="1" ht="57.6" customHeight="1">
      <c r="A105" s="297" t="s">
        <v>1290</v>
      </c>
      <c r="B105" s="297"/>
      <c r="C105" s="297"/>
      <c r="D105" s="297"/>
      <c r="E105" s="297"/>
      <c r="F105" s="297"/>
      <c r="G105" s="297"/>
      <c r="H105" s="297"/>
      <c r="I105" s="297"/>
      <c r="J105" s="297"/>
    </row>
    <row r="106" spans="1:10" s="189" customFormat="1" ht="57.6" customHeight="1">
      <c r="A106" s="297" t="s">
        <v>1291</v>
      </c>
      <c r="B106" s="297"/>
      <c r="C106" s="297"/>
      <c r="D106" s="297"/>
      <c r="E106" s="297"/>
      <c r="F106" s="297"/>
      <c r="G106" s="297"/>
      <c r="H106" s="297"/>
      <c r="I106" s="297"/>
      <c r="J106" s="297"/>
    </row>
    <row r="107" spans="1:10" s="189" customFormat="1" ht="57.6" customHeight="1">
      <c r="A107" s="297" t="s">
        <v>1292</v>
      </c>
      <c r="B107" s="297"/>
      <c r="C107" s="297"/>
      <c r="D107" s="297"/>
      <c r="E107" s="297"/>
      <c r="F107" s="297"/>
      <c r="G107" s="297"/>
      <c r="H107" s="297"/>
      <c r="I107" s="297"/>
      <c r="J107" s="297"/>
    </row>
    <row r="108" spans="1:10" s="189" customFormat="1" ht="57.6" customHeight="1">
      <c r="A108" s="297" t="s">
        <v>1293</v>
      </c>
      <c r="B108" s="297"/>
      <c r="C108" s="297"/>
      <c r="D108" s="297"/>
      <c r="E108" s="297"/>
      <c r="F108" s="297"/>
      <c r="G108" s="297"/>
      <c r="H108" s="297"/>
      <c r="I108" s="297"/>
      <c r="J108" s="297"/>
    </row>
    <row r="109" spans="1:10" s="189" customFormat="1" ht="90" customHeight="1">
      <c r="A109" s="297" t="s">
        <v>1294</v>
      </c>
      <c r="B109" s="297"/>
      <c r="C109" s="297"/>
      <c r="D109" s="297"/>
      <c r="E109" s="297"/>
      <c r="F109" s="297"/>
      <c r="G109" s="297"/>
      <c r="H109" s="297"/>
      <c r="I109" s="297"/>
      <c r="J109" s="297"/>
    </row>
    <row r="110" spans="1:10" s="189" customFormat="1" ht="57.6" customHeight="1">
      <c r="A110" s="297" t="s">
        <v>1295</v>
      </c>
      <c r="B110" s="297"/>
      <c r="C110" s="297"/>
      <c r="D110" s="297"/>
      <c r="E110" s="297"/>
      <c r="F110" s="297"/>
      <c r="G110" s="297"/>
      <c r="H110" s="297"/>
      <c r="I110" s="297"/>
      <c r="J110" s="297"/>
    </row>
    <row r="111" spans="1:10" s="189" customFormat="1" ht="57.6" customHeight="1">
      <c r="A111" s="297" t="s">
        <v>1296</v>
      </c>
      <c r="B111" s="297"/>
      <c r="C111" s="297"/>
      <c r="D111" s="297"/>
      <c r="E111" s="297"/>
      <c r="F111" s="297"/>
      <c r="G111" s="297"/>
      <c r="H111" s="297"/>
      <c r="I111" s="297"/>
      <c r="J111" s="297"/>
    </row>
    <row r="112" spans="1:10" s="189" customFormat="1" ht="57.6" customHeight="1">
      <c r="A112" s="297" t="s">
        <v>1297</v>
      </c>
      <c r="B112" s="297"/>
      <c r="C112" s="297"/>
      <c r="D112" s="297"/>
      <c r="E112" s="297"/>
      <c r="F112" s="297"/>
      <c r="G112" s="297"/>
      <c r="H112" s="297"/>
      <c r="I112" s="297"/>
      <c r="J112" s="297"/>
    </row>
    <row r="113" spans="1:10" s="189" customFormat="1" ht="57.6" customHeight="1">
      <c r="A113" s="297" t="s">
        <v>1298</v>
      </c>
      <c r="B113" s="297"/>
      <c r="C113" s="297"/>
      <c r="D113" s="297"/>
      <c r="E113" s="297"/>
      <c r="F113" s="297"/>
      <c r="G113" s="297"/>
      <c r="H113" s="297"/>
      <c r="I113" s="297"/>
      <c r="J113" s="297"/>
    </row>
    <row r="114" spans="1:10" s="189" customFormat="1" ht="57.6" customHeight="1">
      <c r="A114" s="297" t="s">
        <v>1299</v>
      </c>
      <c r="B114" s="297"/>
      <c r="C114" s="297"/>
      <c r="D114" s="297"/>
      <c r="E114" s="297"/>
      <c r="F114" s="297"/>
      <c r="G114" s="297"/>
      <c r="H114" s="297"/>
      <c r="I114" s="297"/>
      <c r="J114" s="297"/>
    </row>
    <row r="115" spans="1:10" s="189" customFormat="1" ht="57.6" customHeight="1">
      <c r="A115" s="297" t="s">
        <v>1300</v>
      </c>
      <c r="B115" s="297"/>
      <c r="C115" s="297"/>
      <c r="D115" s="297"/>
      <c r="E115" s="297"/>
      <c r="F115" s="297"/>
      <c r="G115" s="297"/>
      <c r="H115" s="297"/>
      <c r="I115" s="297"/>
      <c r="J115" s="297"/>
    </row>
    <row r="116" spans="1:10" s="189" customFormat="1" ht="57.6" customHeight="1">
      <c r="A116" s="297" t="s">
        <v>1301</v>
      </c>
      <c r="B116" s="297"/>
      <c r="C116" s="297"/>
      <c r="D116" s="297"/>
      <c r="E116" s="297"/>
      <c r="F116" s="297"/>
      <c r="G116" s="297"/>
      <c r="H116" s="297"/>
      <c r="I116" s="297"/>
      <c r="J116" s="297"/>
    </row>
    <row r="117" spans="1:10" s="189" customFormat="1" ht="57.6" customHeight="1">
      <c r="A117" s="297" t="s">
        <v>1302</v>
      </c>
      <c r="B117" s="297"/>
      <c r="C117" s="297"/>
      <c r="D117" s="297"/>
      <c r="E117" s="297"/>
      <c r="F117" s="297"/>
      <c r="G117" s="297"/>
      <c r="H117" s="297"/>
      <c r="I117" s="297"/>
      <c r="J117" s="297"/>
    </row>
    <row r="118" spans="1:10" s="189" customFormat="1" ht="57.6" customHeight="1">
      <c r="A118" s="297" t="s">
        <v>1303</v>
      </c>
      <c r="B118" s="297"/>
      <c r="C118" s="297"/>
      <c r="D118" s="297"/>
      <c r="E118" s="297"/>
      <c r="F118" s="297"/>
      <c r="G118" s="297"/>
      <c r="H118" s="297"/>
      <c r="I118" s="297"/>
      <c r="J118" s="297"/>
    </row>
    <row r="119" spans="1:10" s="189" customFormat="1" ht="77.099999999999994" customHeight="1">
      <c r="A119" s="297" t="s">
        <v>1304</v>
      </c>
      <c r="B119" s="297"/>
      <c r="C119" s="297"/>
      <c r="D119" s="297"/>
      <c r="E119" s="297"/>
      <c r="F119" s="297"/>
      <c r="G119" s="297"/>
      <c r="H119" s="297"/>
      <c r="I119" s="297"/>
      <c r="J119" s="297"/>
    </row>
    <row r="120" spans="1:10" s="189" customFormat="1" ht="57.6" customHeight="1">
      <c r="A120" s="297" t="s">
        <v>1305</v>
      </c>
      <c r="B120" s="297"/>
      <c r="C120" s="297"/>
      <c r="D120" s="297"/>
      <c r="E120" s="297"/>
      <c r="F120" s="297"/>
      <c r="G120" s="297"/>
      <c r="H120" s="297"/>
      <c r="I120" s="297"/>
      <c r="J120" s="297"/>
    </row>
    <row r="121" spans="1:10" s="189" customFormat="1" ht="57.6" customHeight="1">
      <c r="A121" s="297" t="s">
        <v>1306</v>
      </c>
      <c r="B121" s="297"/>
      <c r="C121" s="297"/>
      <c r="D121" s="297"/>
      <c r="E121" s="297"/>
      <c r="F121" s="297"/>
      <c r="G121" s="297"/>
      <c r="H121" s="297"/>
      <c r="I121" s="297"/>
      <c r="J121" s="297"/>
    </row>
    <row r="122" spans="1:10" s="189" customFormat="1" ht="57.6" customHeight="1">
      <c r="A122" s="297" t="s">
        <v>1307</v>
      </c>
      <c r="B122" s="297"/>
      <c r="C122" s="297"/>
      <c r="D122" s="297"/>
      <c r="E122" s="297"/>
      <c r="F122" s="297"/>
      <c r="G122" s="297"/>
      <c r="H122" s="297"/>
      <c r="I122" s="297"/>
      <c r="J122" s="297"/>
    </row>
    <row r="123" spans="1:10" s="189" customFormat="1" ht="57.6" customHeight="1">
      <c r="A123" s="297" t="s">
        <v>1308</v>
      </c>
      <c r="B123" s="297"/>
      <c r="C123" s="297"/>
      <c r="D123" s="297"/>
      <c r="E123" s="297"/>
      <c r="F123" s="297"/>
      <c r="G123" s="297"/>
      <c r="H123" s="297"/>
      <c r="I123" s="297"/>
      <c r="J123" s="297"/>
    </row>
    <row r="124" spans="1:10" s="189" customFormat="1" ht="57.6" customHeight="1">
      <c r="A124" s="297" t="s">
        <v>1309</v>
      </c>
      <c r="B124" s="297"/>
      <c r="C124" s="297"/>
      <c r="D124" s="297"/>
      <c r="E124" s="297"/>
      <c r="F124" s="297"/>
      <c r="G124" s="297"/>
      <c r="H124" s="297"/>
      <c r="I124" s="297"/>
      <c r="J124" s="297"/>
    </row>
    <row r="125" spans="1:10" s="189" customFormat="1" ht="57.6" customHeight="1">
      <c r="A125" s="297" t="s">
        <v>1310</v>
      </c>
      <c r="B125" s="297"/>
      <c r="C125" s="297"/>
      <c r="D125" s="297"/>
      <c r="E125" s="297"/>
      <c r="F125" s="297"/>
      <c r="G125" s="297"/>
      <c r="H125" s="297"/>
      <c r="I125" s="297"/>
      <c r="J125" s="297"/>
    </row>
    <row r="126" spans="1:10" s="189" customFormat="1" ht="57.6" customHeight="1">
      <c r="A126" s="297" t="s">
        <v>1311</v>
      </c>
      <c r="B126" s="297"/>
      <c r="C126" s="297"/>
      <c r="D126" s="297"/>
      <c r="E126" s="297"/>
      <c r="F126" s="297"/>
      <c r="G126" s="297"/>
      <c r="H126" s="297"/>
      <c r="I126" s="297"/>
      <c r="J126" s="297"/>
    </row>
    <row r="127" spans="1:10" s="189" customFormat="1" ht="57.6" customHeight="1">
      <c r="A127" s="297" t="s">
        <v>1312</v>
      </c>
      <c r="B127" s="297"/>
      <c r="C127" s="297"/>
      <c r="D127" s="297"/>
      <c r="E127" s="297"/>
      <c r="F127" s="297"/>
      <c r="G127" s="297"/>
      <c r="H127" s="297"/>
      <c r="I127" s="297"/>
      <c r="J127" s="297"/>
    </row>
    <row r="128" spans="1:10" s="189" customFormat="1" ht="57.6" customHeight="1">
      <c r="A128" s="297" t="s">
        <v>1313</v>
      </c>
      <c r="B128" s="297"/>
      <c r="C128" s="297"/>
      <c r="D128" s="297"/>
      <c r="E128" s="297"/>
      <c r="F128" s="297"/>
      <c r="G128" s="297"/>
      <c r="H128" s="297"/>
      <c r="I128" s="297"/>
      <c r="J128" s="297"/>
    </row>
    <row r="129" spans="1:10" s="189" customFormat="1" ht="57.6" customHeight="1">
      <c r="A129" s="297" t="s">
        <v>1314</v>
      </c>
      <c r="B129" s="297"/>
      <c r="C129" s="297"/>
      <c r="D129" s="297"/>
      <c r="E129" s="297"/>
      <c r="F129" s="297"/>
      <c r="G129" s="297"/>
      <c r="H129" s="297"/>
      <c r="I129" s="297"/>
      <c r="J129" s="297"/>
    </row>
    <row r="130" spans="1:10" s="189" customFormat="1" ht="57.6" customHeight="1">
      <c r="A130" s="297" t="s">
        <v>1315</v>
      </c>
      <c r="B130" s="297"/>
      <c r="C130" s="297"/>
      <c r="D130" s="297"/>
      <c r="E130" s="297"/>
      <c r="F130" s="297"/>
      <c r="G130" s="297"/>
      <c r="H130" s="297"/>
      <c r="I130" s="297"/>
      <c r="J130" s="297"/>
    </row>
    <row r="131" spans="1:10" s="189" customFormat="1" ht="57.6" customHeight="1">
      <c r="A131" s="297" t="s">
        <v>1316</v>
      </c>
      <c r="B131" s="297"/>
      <c r="C131" s="297"/>
      <c r="D131" s="297"/>
      <c r="E131" s="297"/>
      <c r="F131" s="297"/>
      <c r="G131" s="297"/>
      <c r="H131" s="297"/>
      <c r="I131" s="297"/>
      <c r="J131" s="297"/>
    </row>
    <row r="132" spans="1:10" s="189" customFormat="1" ht="57.6" customHeight="1">
      <c r="A132" s="297" t="s">
        <v>1317</v>
      </c>
      <c r="B132" s="297"/>
      <c r="C132" s="297"/>
      <c r="D132" s="297"/>
      <c r="E132" s="297"/>
      <c r="F132" s="297"/>
      <c r="G132" s="297"/>
      <c r="H132" s="297"/>
      <c r="I132" s="297"/>
      <c r="J132" s="297"/>
    </row>
    <row r="133" spans="1:10" s="189" customFormat="1" ht="57.6" customHeight="1">
      <c r="A133" s="297" t="s">
        <v>1318</v>
      </c>
      <c r="B133" s="297"/>
      <c r="C133" s="297"/>
      <c r="D133" s="297"/>
      <c r="E133" s="297"/>
      <c r="F133" s="297"/>
      <c r="G133" s="297"/>
      <c r="H133" s="297"/>
      <c r="I133" s="297"/>
      <c r="J133" s="297"/>
    </row>
    <row r="134" spans="1:10" s="189" customFormat="1" ht="57.6" customHeight="1">
      <c r="A134" s="297" t="s">
        <v>1319</v>
      </c>
      <c r="B134" s="297"/>
      <c r="C134" s="297"/>
      <c r="D134" s="297"/>
      <c r="E134" s="297"/>
      <c r="F134" s="297"/>
      <c r="G134" s="297"/>
      <c r="H134" s="297"/>
      <c r="I134" s="297"/>
      <c r="J134" s="297"/>
    </row>
    <row r="135" spans="1:10" s="189" customFormat="1" ht="57.6" customHeight="1">
      <c r="A135" s="302" t="s">
        <v>1320</v>
      </c>
      <c r="B135" s="302"/>
      <c r="C135" s="302"/>
      <c r="D135" s="302"/>
      <c r="E135" s="302"/>
      <c r="F135" s="302"/>
      <c r="G135" s="302"/>
      <c r="H135" s="302"/>
      <c r="I135" s="302"/>
      <c r="J135" s="302"/>
    </row>
    <row r="136" spans="1:10" s="189" customFormat="1" ht="57.6" customHeight="1">
      <c r="A136" s="302" t="s">
        <v>1321</v>
      </c>
      <c r="B136" s="302"/>
      <c r="C136" s="302"/>
      <c r="D136" s="302"/>
      <c r="E136" s="302"/>
      <c r="F136" s="302"/>
      <c r="G136" s="302"/>
      <c r="H136" s="302"/>
      <c r="I136" s="302"/>
      <c r="J136" s="302"/>
    </row>
    <row r="137" spans="1:10" s="189" customFormat="1" ht="57.6" customHeight="1">
      <c r="A137" s="302" t="s">
        <v>1322</v>
      </c>
      <c r="B137" s="302"/>
      <c r="C137" s="302"/>
      <c r="D137" s="302"/>
      <c r="E137" s="302"/>
      <c r="F137" s="302"/>
      <c r="G137" s="302"/>
      <c r="H137" s="302"/>
      <c r="I137" s="302"/>
      <c r="J137" s="302"/>
    </row>
    <row r="138" spans="1:10" s="189" customFormat="1" ht="57.6" customHeight="1">
      <c r="A138" s="302" t="s">
        <v>1323</v>
      </c>
      <c r="B138" s="302"/>
      <c r="C138" s="302"/>
      <c r="D138" s="302"/>
      <c r="E138" s="302"/>
      <c r="F138" s="302"/>
      <c r="G138" s="302"/>
      <c r="H138" s="302"/>
      <c r="I138" s="302"/>
      <c r="J138" s="302"/>
    </row>
    <row r="139" spans="1:10" s="189" customFormat="1" ht="36" customHeight="1">
      <c r="A139" s="186"/>
      <c r="B139" s="186"/>
      <c r="C139" s="186"/>
      <c r="D139" s="186"/>
      <c r="E139" s="186"/>
      <c r="F139" s="186"/>
      <c r="G139" s="186"/>
      <c r="H139" s="186"/>
      <c r="I139" s="186"/>
      <c r="J139" s="186"/>
    </row>
    <row r="140" spans="1:10" s="189" customFormat="1" ht="36" customHeight="1">
      <c r="A140" s="187"/>
      <c r="B140" s="187"/>
      <c r="C140" s="187"/>
      <c r="D140" s="187"/>
      <c r="E140" s="187"/>
      <c r="F140" s="187"/>
      <c r="G140" s="187"/>
      <c r="H140" s="187"/>
      <c r="I140" s="187"/>
      <c r="J140" s="187"/>
    </row>
    <row r="141" spans="1:10" s="189" customFormat="1" ht="36" customHeight="1"/>
    <row r="142" spans="1:10" s="190" customFormat="1" ht="36" customHeight="1">
      <c r="A142" s="300" t="s">
        <v>1324</v>
      </c>
      <c r="B142" s="300"/>
      <c r="C142" s="300"/>
      <c r="D142" s="300"/>
      <c r="E142" s="300"/>
      <c r="F142" s="300"/>
      <c r="G142" s="300"/>
      <c r="H142" s="300"/>
      <c r="I142" s="300"/>
      <c r="J142" s="300"/>
    </row>
    <row r="143" spans="1:10" s="189" customFormat="1" ht="36" customHeight="1">
      <c r="A143" s="301"/>
      <c r="B143" s="301"/>
      <c r="C143" s="301"/>
      <c r="D143" s="301"/>
      <c r="E143" s="301"/>
      <c r="F143" s="301"/>
      <c r="G143" s="301"/>
      <c r="H143" s="301"/>
      <c r="I143" s="301"/>
      <c r="J143" s="301"/>
    </row>
    <row r="144" spans="1:10" s="189" customFormat="1" ht="66.95" customHeight="1">
      <c r="A144" s="297" t="s">
        <v>1325</v>
      </c>
      <c r="B144" s="297"/>
      <c r="C144" s="297"/>
      <c r="D144" s="297"/>
      <c r="E144" s="297"/>
      <c r="F144" s="297"/>
      <c r="G144" s="297"/>
      <c r="H144" s="297"/>
      <c r="I144" s="297"/>
      <c r="J144" s="297"/>
    </row>
    <row r="145" spans="1:10" s="189" customFormat="1" ht="47.1" customHeight="1">
      <c r="A145" s="297" t="s">
        <v>1326</v>
      </c>
      <c r="B145" s="297"/>
      <c r="C145" s="297"/>
      <c r="D145" s="297"/>
      <c r="E145" s="297"/>
      <c r="F145" s="297"/>
      <c r="G145" s="297"/>
      <c r="H145" s="297"/>
      <c r="I145" s="297"/>
      <c r="J145" s="297"/>
    </row>
    <row r="146" spans="1:10" s="189" customFormat="1" ht="60" customHeight="1">
      <c r="A146" s="297" t="s">
        <v>1327</v>
      </c>
      <c r="B146" s="297"/>
      <c r="C146" s="297"/>
      <c r="D146" s="297"/>
      <c r="E146" s="297"/>
      <c r="F146" s="297"/>
      <c r="G146" s="297"/>
      <c r="H146" s="297"/>
      <c r="I146" s="297"/>
      <c r="J146" s="297"/>
    </row>
    <row r="147" spans="1:10" s="189" customFormat="1" ht="36" customHeight="1">
      <c r="A147" s="297" t="s">
        <v>1328</v>
      </c>
      <c r="B147" s="297"/>
      <c r="C147" s="297"/>
      <c r="D147" s="297"/>
      <c r="E147" s="297"/>
      <c r="F147" s="297"/>
      <c r="G147" s="297"/>
      <c r="H147" s="297"/>
      <c r="I147" s="297"/>
      <c r="J147" s="297"/>
    </row>
    <row r="148" spans="1:10" s="189" customFormat="1" ht="36" customHeight="1">
      <c r="A148" s="297" t="s">
        <v>1329</v>
      </c>
      <c r="B148" s="297"/>
      <c r="C148" s="297"/>
      <c r="D148" s="297"/>
      <c r="E148" s="297"/>
      <c r="F148" s="297"/>
      <c r="G148" s="297"/>
      <c r="H148" s="297"/>
      <c r="I148" s="297"/>
      <c r="J148" s="297"/>
    </row>
    <row r="149" spans="1:10" s="189" customFormat="1" ht="60" customHeight="1">
      <c r="A149" s="297" t="s">
        <v>1330</v>
      </c>
      <c r="B149" s="297"/>
      <c r="C149" s="297"/>
      <c r="D149" s="297"/>
      <c r="E149" s="297"/>
      <c r="F149" s="297"/>
      <c r="G149" s="297"/>
      <c r="H149" s="297"/>
      <c r="I149" s="297"/>
      <c r="J149" s="297"/>
    </row>
    <row r="150" spans="1:10" s="189" customFormat="1" ht="36" customHeight="1">
      <c r="A150" s="297" t="s">
        <v>1331</v>
      </c>
      <c r="B150" s="297"/>
      <c r="C150" s="297"/>
      <c r="D150" s="297"/>
      <c r="E150" s="297"/>
      <c r="F150" s="297"/>
      <c r="G150" s="297"/>
      <c r="H150" s="297"/>
      <c r="I150" s="297"/>
      <c r="J150" s="297"/>
    </row>
    <row r="151" spans="1:10" s="189" customFormat="1" ht="36" customHeight="1">
      <c r="A151" s="297" t="s">
        <v>1332</v>
      </c>
      <c r="B151" s="297"/>
      <c r="C151" s="297"/>
      <c r="D151" s="297"/>
      <c r="E151" s="297"/>
      <c r="F151" s="297"/>
      <c r="G151" s="297"/>
      <c r="H151" s="297"/>
      <c r="I151" s="297"/>
      <c r="J151" s="297"/>
    </row>
    <row r="152" spans="1:10" s="189" customFormat="1" ht="62.1" customHeight="1">
      <c r="A152" s="297" t="s">
        <v>1333</v>
      </c>
      <c r="B152" s="297"/>
      <c r="C152" s="297"/>
      <c r="D152" s="297"/>
      <c r="E152" s="297"/>
      <c r="F152" s="297"/>
      <c r="G152" s="297"/>
      <c r="H152" s="297"/>
      <c r="I152" s="297"/>
      <c r="J152" s="297"/>
    </row>
    <row r="153" spans="1:10" s="189" customFormat="1" ht="18.95" customHeight="1">
      <c r="A153" s="299" t="s">
        <v>1334</v>
      </c>
      <c r="B153" s="299"/>
      <c r="C153" s="299"/>
      <c r="D153" s="299"/>
      <c r="E153" s="299"/>
      <c r="F153" s="299"/>
      <c r="G153" s="299"/>
      <c r="H153" s="299"/>
      <c r="I153" s="299"/>
      <c r="J153" s="299"/>
    </row>
    <row r="154" spans="1:10" s="189" customFormat="1" ht="15.75">
      <c r="A154" s="298" t="s">
        <v>1335</v>
      </c>
      <c r="B154" s="298"/>
      <c r="C154" s="298"/>
      <c r="D154" s="298"/>
      <c r="E154" s="298"/>
      <c r="F154" s="298"/>
      <c r="G154" s="298"/>
      <c r="H154" s="298"/>
      <c r="I154" s="298"/>
      <c r="J154" s="298"/>
    </row>
    <row r="155" spans="1:10" s="189" customFormat="1" ht="15.75">
      <c r="A155" s="298" t="s">
        <v>1336</v>
      </c>
      <c r="B155" s="298"/>
      <c r="C155" s="298"/>
      <c r="D155" s="298"/>
      <c r="E155" s="298"/>
      <c r="F155" s="298"/>
      <c r="G155" s="298"/>
      <c r="H155" s="298"/>
      <c r="I155" s="298"/>
      <c r="J155" s="298"/>
    </row>
    <row r="156" spans="1:10" s="189" customFormat="1" ht="15.75">
      <c r="A156" s="298" t="s">
        <v>1337</v>
      </c>
      <c r="B156" s="298"/>
      <c r="C156" s="298"/>
      <c r="D156" s="298"/>
      <c r="E156" s="298"/>
      <c r="F156" s="298"/>
      <c r="G156" s="298"/>
      <c r="H156" s="298"/>
      <c r="I156" s="298"/>
      <c r="J156" s="298"/>
    </row>
    <row r="157" spans="1:10" s="189" customFormat="1" ht="15.75">
      <c r="A157" s="298" t="s">
        <v>1338</v>
      </c>
      <c r="B157" s="298"/>
      <c r="C157" s="298"/>
      <c r="D157" s="298"/>
      <c r="E157" s="298"/>
      <c r="F157" s="298"/>
      <c r="G157" s="298"/>
      <c r="H157" s="298"/>
      <c r="I157" s="298"/>
      <c r="J157" s="298"/>
    </row>
    <row r="158" spans="1:10" s="189" customFormat="1" ht="15.75">
      <c r="A158" s="298" t="s">
        <v>1339</v>
      </c>
      <c r="B158" s="298"/>
      <c r="C158" s="298"/>
      <c r="D158" s="298"/>
      <c r="E158" s="298"/>
      <c r="F158" s="298"/>
      <c r="G158" s="298"/>
      <c r="H158" s="298"/>
      <c r="I158" s="298"/>
      <c r="J158" s="298"/>
    </row>
    <row r="159" spans="1:10" s="189" customFormat="1" ht="15.75">
      <c r="A159" s="298" t="s">
        <v>1340</v>
      </c>
      <c r="B159" s="298"/>
      <c r="C159" s="298"/>
      <c r="D159" s="298"/>
      <c r="E159" s="298"/>
      <c r="F159" s="298"/>
      <c r="G159" s="298"/>
      <c r="H159" s="298"/>
      <c r="I159" s="298"/>
      <c r="J159" s="298"/>
    </row>
    <row r="160" spans="1:10" s="189" customFormat="1" ht="15.75">
      <c r="A160" s="298" t="s">
        <v>1341</v>
      </c>
      <c r="B160" s="298"/>
      <c r="C160" s="298"/>
      <c r="D160" s="298"/>
      <c r="E160" s="298"/>
      <c r="F160" s="298"/>
      <c r="G160" s="298"/>
      <c r="H160" s="298"/>
      <c r="I160" s="298"/>
      <c r="J160" s="298"/>
    </row>
    <row r="161" spans="1:10" s="189" customFormat="1" ht="15.75">
      <c r="A161" s="298" t="s">
        <v>1342</v>
      </c>
      <c r="B161" s="298"/>
      <c r="C161" s="298"/>
      <c r="D161" s="298"/>
      <c r="E161" s="298"/>
      <c r="F161" s="298"/>
      <c r="G161" s="298"/>
      <c r="H161" s="298"/>
      <c r="I161" s="298"/>
      <c r="J161" s="298"/>
    </row>
    <row r="162" spans="1:10" s="189" customFormat="1" ht="15.75">
      <c r="A162" s="298" t="s">
        <v>1343</v>
      </c>
      <c r="B162" s="298"/>
      <c r="C162" s="298"/>
      <c r="D162" s="298"/>
      <c r="E162" s="298"/>
      <c r="F162" s="298"/>
      <c r="G162" s="298"/>
      <c r="H162" s="298"/>
      <c r="I162" s="298"/>
      <c r="J162" s="298"/>
    </row>
    <row r="163" spans="1:10" s="189" customFormat="1" ht="36" customHeight="1">
      <c r="A163" s="187"/>
    </row>
    <row r="164" spans="1:10" s="189" customFormat="1" ht="42.95" customHeight="1">
      <c r="A164" s="297" t="s">
        <v>1344</v>
      </c>
      <c r="B164" s="297"/>
      <c r="C164" s="297"/>
      <c r="D164" s="297"/>
      <c r="E164" s="297"/>
      <c r="F164" s="297"/>
      <c r="G164" s="297"/>
      <c r="H164" s="297"/>
      <c r="I164" s="297"/>
      <c r="J164" s="297"/>
    </row>
    <row r="165" spans="1:10" s="189" customFormat="1" ht="41.1" customHeight="1">
      <c r="A165" s="297" t="s">
        <v>1345</v>
      </c>
      <c r="B165" s="297"/>
      <c r="C165" s="297"/>
      <c r="D165" s="297"/>
      <c r="E165" s="297"/>
      <c r="F165" s="297"/>
      <c r="G165" s="297"/>
      <c r="H165" s="297"/>
      <c r="I165" s="297"/>
      <c r="J165" s="297"/>
    </row>
    <row r="166" spans="1:10" s="189" customFormat="1" ht="36" customHeight="1">
      <c r="A166" s="187"/>
    </row>
    <row r="167" spans="1:10" s="189" customFormat="1" ht="36" customHeight="1"/>
    <row r="168" spans="1:10" s="189"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heetViews>
  <sheetFormatPr defaultColWidth="10.875" defaultRowHeight="15.75"/>
  <cols>
    <col min="1" max="1" width="10.875" style="2"/>
    <col min="2" max="2" width="37.625" style="2" bestFit="1" customWidth="1"/>
    <col min="3" max="10" width="10.875" style="2"/>
    <col min="11" max="11" width="19.375" style="2" customWidth="1"/>
    <col min="12" max="12" width="10.875" style="2"/>
    <col min="13" max="13" width="38.125" style="2" bestFit="1" customWidth="1"/>
    <col min="14" max="14" width="10.875" style="2"/>
    <col min="15" max="15" width="49.5" style="2" customWidth="1"/>
    <col min="16" max="16" width="10.875" style="2"/>
    <col min="17" max="17" width="43.625" style="2" bestFit="1" customWidth="1"/>
    <col min="18" max="18" width="10.875" style="2"/>
    <col min="19" max="19" width="33" style="2" customWidth="1"/>
    <col min="20" max="20" width="10.875" style="2"/>
    <col min="21" max="21" width="27.125" style="2" customWidth="1"/>
    <col min="22" max="22" width="10.875" style="2"/>
    <col min="23" max="23" width="30" style="2" bestFit="1" customWidth="1"/>
    <col min="24" max="24" width="10.875" style="2"/>
    <col min="25" max="25" width="31" style="2" bestFit="1" customWidth="1"/>
    <col min="26" max="26" width="31.5" style="2" bestFit="1" customWidth="1"/>
    <col min="27" max="27" width="10.875" style="2"/>
    <col min="28" max="28" width="23.375" style="2" bestFit="1" customWidth="1"/>
    <col min="29" max="29" width="38.5" style="2" bestFit="1" customWidth="1"/>
    <col min="30" max="30" width="10.875" style="2"/>
    <col min="31" max="31" width="29.625" style="2" bestFit="1" customWidth="1"/>
    <col min="32" max="34" width="10.875" style="2"/>
    <col min="35" max="35" width="56.375" style="2" bestFit="1" customWidth="1"/>
    <col min="36" max="36" width="10.875" style="2"/>
    <col min="37" max="37" width="31.375" style="2" bestFit="1" customWidth="1"/>
    <col min="38" max="38" width="10.875" style="2"/>
    <col min="39" max="39" width="31.375" style="2" bestFit="1" customWidth="1"/>
    <col min="40" max="40" width="10.875" style="2"/>
    <col min="41" max="41" width="43.375" style="2" bestFit="1" customWidth="1"/>
    <col min="42" max="42" width="10.875" style="2"/>
    <col min="43" max="43" width="58.625" style="2" bestFit="1" customWidth="1"/>
    <col min="44" max="44" width="13.125" style="2" bestFit="1" customWidth="1"/>
    <col min="45" max="45" width="27.5" style="2" customWidth="1"/>
    <col min="46" max="46" width="14.875" style="2" bestFit="1" customWidth="1"/>
    <col min="47" max="47" width="20.375" style="2" bestFit="1" customWidth="1"/>
    <col min="48" max="16384" width="10.875" style="2"/>
  </cols>
  <sheetData>
    <row r="1" spans="1:47" s="21" customFormat="1">
      <c r="A1" s="21" t="s">
        <v>361</v>
      </c>
      <c r="E1" s="21" t="s">
        <v>362</v>
      </c>
      <c r="H1" s="21" t="s">
        <v>363</v>
      </c>
      <c r="J1" s="21" t="s">
        <v>364</v>
      </c>
      <c r="L1" s="21" t="s">
        <v>365</v>
      </c>
      <c r="O1" s="21" t="s">
        <v>366</v>
      </c>
      <c r="S1" s="21" t="s">
        <v>367</v>
      </c>
      <c r="W1" s="21" t="s">
        <v>368</v>
      </c>
      <c r="Z1" s="21" t="s">
        <v>369</v>
      </c>
      <c r="AC1" s="21" t="s">
        <v>370</v>
      </c>
      <c r="AF1" s="21" t="s">
        <v>4</v>
      </c>
      <c r="AH1" s="21" t="s">
        <v>371</v>
      </c>
      <c r="AJ1" s="21" t="s">
        <v>372</v>
      </c>
      <c r="AL1" s="21" t="s">
        <v>373</v>
      </c>
      <c r="AN1" s="21" t="s">
        <v>374</v>
      </c>
      <c r="AP1" s="21" t="s">
        <v>375</v>
      </c>
      <c r="AR1" s="21" t="s">
        <v>376</v>
      </c>
      <c r="AT1" s="21" t="s">
        <v>377</v>
      </c>
    </row>
    <row r="2" spans="1:47">
      <c r="A2" s="19" t="b">
        <v>1</v>
      </c>
      <c r="B2" s="17" t="str">
        <f>IF(A2= TRUE, "Certificate|", "")</f>
        <v>Certificate|</v>
      </c>
      <c r="E2" s="1" t="b">
        <v>0</v>
      </c>
      <c r="F2" s="1" t="str">
        <f>IF(E2= TRUE, "SAT|", "")</f>
        <v/>
      </c>
      <c r="H2" s="1" t="b">
        <v>0</v>
      </c>
      <c r="I2" s="1" t="str">
        <f>IF(H2= TRUE, "Fall|", "")</f>
        <v/>
      </c>
      <c r="J2" s="1" t="b">
        <v>0</v>
      </c>
      <c r="K2" s="1" t="str">
        <f>IF(J2= TRUE, "Rolling Admission", "")</f>
        <v/>
      </c>
      <c r="L2" s="34" t="b">
        <v>0</v>
      </c>
      <c r="M2" s="1" t="str">
        <f>IF(L2= TRUE, "American Council on Education (ACE)|", "")</f>
        <v/>
      </c>
      <c r="O2" s="27" t="s">
        <v>378</v>
      </c>
      <c r="P2" s="1" t="b">
        <v>0</v>
      </c>
      <c r="Q2" s="1" t="str">
        <f>IF(P2= TRUE, "Accelerated program|", "")</f>
        <v/>
      </c>
      <c r="S2" s="27" t="s">
        <v>379</v>
      </c>
      <c r="T2" s="1" t="b">
        <v>1</v>
      </c>
      <c r="U2" s="1" t="str">
        <f>IF(T2= TRUE, "Arts/fine arts|", "")</f>
        <v>Arts/fine arts|</v>
      </c>
      <c r="W2" s="2" t="s">
        <v>380</v>
      </c>
      <c r="X2" s="2" t="b">
        <v>1</v>
      </c>
      <c r="Y2" s="2" t="str">
        <f>IF(X2= TRUE, "Campus Ministries|", "")</f>
        <v>Campus Ministries|</v>
      </c>
      <c r="Z2" s="2" t="s">
        <v>381</v>
      </c>
      <c r="AA2" s="2" t="b">
        <v>1</v>
      </c>
      <c r="AB2" s="2" t="str">
        <f>IF(AA2= TRUE, "On Campus|", "")</f>
        <v>On Campus|</v>
      </c>
      <c r="AC2" s="2" t="s">
        <v>382</v>
      </c>
      <c r="AD2" s="2" t="b">
        <v>1</v>
      </c>
      <c r="AE2" s="2" t="str">
        <f>IF(AD2= TRUE, "Apartments for married students|", "")</f>
        <v>Apartments for married students|</v>
      </c>
      <c r="AF2" s="2" t="b">
        <v>0</v>
      </c>
      <c r="AG2" s="2" t="str">
        <f>IF(AF2, "2023-2024 academic costs not currently available", "")</f>
        <v/>
      </c>
      <c r="AH2" s="2" t="b">
        <v>1</v>
      </c>
      <c r="AI2" s="2" t="str">
        <f>IF(AH2= TRUE, "Institutional need-based grant or scholarship aid is available.|", "")</f>
        <v>Institutional need-based grant or scholarship aid is available.|</v>
      </c>
      <c r="AJ2" s="19" t="b">
        <v>0</v>
      </c>
      <c r="AK2" s="2" t="str">
        <f>IF(AJ2= TRUE, "Institution's own financial aid form|", "")</f>
        <v/>
      </c>
      <c r="AL2" s="2" t="b">
        <v>0</v>
      </c>
      <c r="AM2" s="2" t="str">
        <f>IF(AL2= TRUE, "FAFSA|", "")</f>
        <v/>
      </c>
      <c r="AN2" s="19" t="b">
        <v>0</v>
      </c>
      <c r="AO2" s="2" t="str">
        <f>IF(AN2= TRUE, "Direct Subsidized Stafford Loans | ", "")</f>
        <v/>
      </c>
      <c r="AP2" s="19" t="b">
        <v>0</v>
      </c>
      <c r="AQ2" s="2" t="str">
        <f>IF(AP2= TRUE, "Federal Pell| ", "")</f>
        <v/>
      </c>
      <c r="AR2" s="19" t="b">
        <v>0</v>
      </c>
      <c r="AS2" s="2" t="str">
        <f>IF(AR2= TRUE, "Academics| ", "")</f>
        <v/>
      </c>
      <c r="AT2" s="2" t="b">
        <v>0</v>
      </c>
      <c r="AU2" s="2" t="str">
        <f>IF(AT2= TRUE, "Academics| ", "")</f>
        <v/>
      </c>
    </row>
    <row r="3" spans="1:47" ht="31.5">
      <c r="A3" s="19" t="b">
        <v>1</v>
      </c>
      <c r="B3" s="17" t="str">
        <f>IF(A3= TRUE, "Diploma|", "")</f>
        <v>Diploma|</v>
      </c>
      <c r="E3" s="1" t="b">
        <v>0</v>
      </c>
      <c r="F3" s="1" t="str">
        <f>IF(E3= TRUE, "ACT|", "")</f>
        <v/>
      </c>
      <c r="H3" s="1" t="b">
        <v>0</v>
      </c>
      <c r="I3" s="1" t="str">
        <f>IF(H3= TRUE, "Winter|", "")</f>
        <v/>
      </c>
      <c r="J3" s="1" t="b">
        <v>0</v>
      </c>
      <c r="K3" s="1" t="str">
        <f>IF(J3= TRUE, "Rolling Admission", "")</f>
        <v/>
      </c>
      <c r="L3" s="34" t="b">
        <v>0</v>
      </c>
      <c r="M3" s="1" t="str">
        <f>IF(L3= TRUE, "College Level Examination Program (CLEP)|", "")</f>
        <v/>
      </c>
      <c r="O3" s="27" t="s">
        <v>383</v>
      </c>
      <c r="P3" s="1" t="b">
        <v>1</v>
      </c>
      <c r="Q3" s="27" t="str">
        <f>IF(P3= TRUE, "Comprehensive transition and postsecondary program for students with intellectual disabilities|", "")</f>
        <v>Comprehensive transition and postsecondary program for students with intellectual disabilities|</v>
      </c>
      <c r="S3" s="27" t="s">
        <v>384</v>
      </c>
      <c r="T3" s="1" t="b">
        <v>0</v>
      </c>
      <c r="U3" s="1" t="str">
        <f>IF(T3= TRUE, "Computer literacy|", "")</f>
        <v/>
      </c>
      <c r="W3" s="2" t="s">
        <v>385</v>
      </c>
      <c r="X3" s="2" t="b">
        <v>1</v>
      </c>
      <c r="Y3" s="2" t="str">
        <f>IF(X3= TRUE, "Choral groups|", "")</f>
        <v>Choral groups|</v>
      </c>
      <c r="Z3" s="2" t="s">
        <v>386</v>
      </c>
      <c r="AA3" s="2" t="b">
        <v>0</v>
      </c>
      <c r="AB3" s="2" t="str">
        <f>IF(AA3= TRUE, "At cooperating institution|", "")</f>
        <v/>
      </c>
      <c r="AC3" s="2" t="s">
        <v>387</v>
      </c>
      <c r="AD3" s="2" t="b">
        <v>1</v>
      </c>
      <c r="AE3" s="2" t="str">
        <f>IF(AD3= TRUE, "Apartments for single students|", "")</f>
        <v>Apartments for single students|</v>
      </c>
      <c r="AH3" s="2" t="b">
        <v>1</v>
      </c>
      <c r="AI3" s="2" t="str">
        <f>IF(AH3= TRUE, "Institutional non-need-based grant or scholarship aid is available.|", "")</f>
        <v>Institutional non-need-based grant or scholarship aid is available.|</v>
      </c>
      <c r="AJ3" s="19" t="b">
        <v>0</v>
      </c>
      <c r="AK3" s="2" t="str">
        <f>IF(AJ3= TRUE, "CSS Profile|", "")</f>
        <v/>
      </c>
      <c r="AL3" s="2" t="b">
        <v>0</v>
      </c>
      <c r="AM3" s="2" t="str">
        <f>IF(AL3= TRUE, "Institution's own financial aid form|", "")</f>
        <v/>
      </c>
      <c r="AN3" s="19" t="b">
        <v>0</v>
      </c>
      <c r="AO3" s="2" t="str">
        <f>IF(AN3= TRUE, "Direct Unsubsidized Stafford Loans | ", "")</f>
        <v/>
      </c>
      <c r="AP3" s="19" t="b">
        <v>0</v>
      </c>
      <c r="AQ3" s="2" t="str">
        <f>IF(AP3= TRUE, "SEOG| ", "")</f>
        <v/>
      </c>
      <c r="AR3" s="19" t="b">
        <v>0</v>
      </c>
      <c r="AS3" s="2" t="str">
        <f>IF(AR3= TRUE, "Alumni Affiliation| ", "")</f>
        <v/>
      </c>
      <c r="AT3" s="2" t="b">
        <v>0</v>
      </c>
      <c r="AU3" s="2" t="str">
        <f>IF(AT3= TRUE, "Alumni Affiliation| ", "")</f>
        <v/>
      </c>
    </row>
    <row r="4" spans="1:47">
      <c r="A4" s="19" t="b">
        <v>0</v>
      </c>
      <c r="B4" s="17" t="str" cm="1">
        <f t="array" ref="B4">_xlfn.IFS(A4= TRUE, "Associate|",A4=FALSE, "")</f>
        <v/>
      </c>
      <c r="E4" s="1" t="b">
        <v>0</v>
      </c>
      <c r="F4" s="1" t="str">
        <f>IF(E4= TRUE, "AP|", "")</f>
        <v/>
      </c>
      <c r="H4" s="1" t="b">
        <v>0</v>
      </c>
      <c r="I4" s="1" t="str">
        <f>IF(H4= TRUE, "Spring|", "")</f>
        <v/>
      </c>
      <c r="J4" s="1" t="b">
        <v>0</v>
      </c>
      <c r="K4" s="1" t="str">
        <f>IF(J4= TRUE, "Rolling Admission", "")</f>
        <v/>
      </c>
      <c r="L4" s="34" t="b">
        <v>0</v>
      </c>
      <c r="M4" s="1" t="str">
        <f>IF(L4= TRUE, "DANTES Subject Standardized Tests (DSST)|", "")</f>
        <v/>
      </c>
      <c r="O4" s="27" t="s">
        <v>388</v>
      </c>
      <c r="P4" s="1" t="b">
        <v>1</v>
      </c>
      <c r="Q4" s="1" t="str">
        <f>IF(P4= TRUE, "Cross-registration|", "")</f>
        <v>Cross-registration|</v>
      </c>
      <c r="S4" s="27" t="s">
        <v>389</v>
      </c>
      <c r="T4" s="1" t="b">
        <v>1</v>
      </c>
      <c r="U4" s="1" t="str">
        <f>IF(T4= TRUE, "English (including composition)|", "")</f>
        <v>English (including composition)|</v>
      </c>
      <c r="W4" s="2" t="s">
        <v>390</v>
      </c>
      <c r="X4" s="2" t="b">
        <v>1</v>
      </c>
      <c r="Y4" s="2" t="str">
        <f>IF(X4= TRUE, "Concert band|", "")</f>
        <v>Concert band|</v>
      </c>
      <c r="AC4" s="2" t="s">
        <v>391</v>
      </c>
      <c r="AD4" s="2" t="b">
        <v>1</v>
      </c>
      <c r="AE4" s="2" t="str">
        <f>IF(AD4= TRUE, "Coed residence halls|", "")</f>
        <v>Coed residence halls|</v>
      </c>
      <c r="AH4" s="2" t="b">
        <v>1</v>
      </c>
      <c r="AI4" s="2" t="str">
        <f>IF(AH4= TRUE, "Institutional grant and scholarship aid is not available.|", "")</f>
        <v>Institutional grant and scholarship aid is not available.|</v>
      </c>
      <c r="AJ4" s="19" t="b">
        <v>0</v>
      </c>
      <c r="AK4" s="2" t="str">
        <f>IF(AJ4= TRUE, "Other|", "")</f>
        <v/>
      </c>
      <c r="AL4" s="2" t="b">
        <v>0</v>
      </c>
      <c r="AM4" s="2" t="str">
        <f>IF(AL4= TRUE, "CSS Profile|", "")</f>
        <v/>
      </c>
      <c r="AN4" s="19" t="b">
        <v>0</v>
      </c>
      <c r="AO4" s="2" t="str">
        <f>IF(AN4= TRUE, "Direct PLUS Loans | ", "")</f>
        <v/>
      </c>
      <c r="AP4" s="19" t="b">
        <v>0</v>
      </c>
      <c r="AQ4" s="2" t="str">
        <f>IF(AP4= TRUE, "State scholarships/grants| ", "")</f>
        <v/>
      </c>
      <c r="AR4" s="19" t="b">
        <v>0</v>
      </c>
      <c r="AS4" s="2" t="str">
        <f>IF(AR4= TRUE, "Art| ", "")</f>
        <v/>
      </c>
      <c r="AT4" s="2" t="b">
        <v>0</v>
      </c>
      <c r="AU4" s="2" t="str">
        <f>IF(AT4= TRUE, "Art| ", "")</f>
        <v/>
      </c>
    </row>
    <row r="5" spans="1:47">
      <c r="A5" s="19" t="b">
        <v>0</v>
      </c>
      <c r="B5" s="17" t="str" cm="1">
        <f t="array" ref="B5">_xlfn.IFS(A5=TRUE, "Transfer|",A5=FALSE, "")</f>
        <v/>
      </c>
      <c r="E5" s="1" t="b">
        <v>0</v>
      </c>
      <c r="F5" s="1" t="str">
        <f>IF(E5= TRUE, "CLEP|", "")</f>
        <v/>
      </c>
      <c r="H5" s="1" t="b">
        <v>0</v>
      </c>
      <c r="I5" s="1" t="str">
        <f>IF(H5= TRUE, "Summer|", "")</f>
        <v/>
      </c>
      <c r="J5" s="1" t="b">
        <v>0</v>
      </c>
      <c r="K5" s="1" t="str">
        <f>IF(J5= TRUE, "Rolling Admission", "")</f>
        <v/>
      </c>
      <c r="O5" s="27" t="s">
        <v>392</v>
      </c>
      <c r="P5" s="1" t="b">
        <v>1</v>
      </c>
      <c r="Q5" s="1" t="str">
        <f>IF(P5= TRUE, "Distance learning|", "")</f>
        <v>Distance learning|</v>
      </c>
      <c r="S5" s="27" t="s">
        <v>393</v>
      </c>
      <c r="T5" s="1" t="b">
        <v>1</v>
      </c>
      <c r="U5" s="1" t="str">
        <f>IF(T5= TRUE, "Foreign languages|", "")</f>
        <v>Foreign languages|</v>
      </c>
      <c r="W5" s="2" t="s">
        <v>394</v>
      </c>
      <c r="X5" s="2" t="b">
        <v>1</v>
      </c>
      <c r="Y5" s="2" t="str">
        <f>IF(X5= TRUE, "Dance|", "")</f>
        <v>Dance|</v>
      </c>
      <c r="Z5" s="2" t="s">
        <v>395</v>
      </c>
      <c r="AA5" s="2" t="b">
        <v>0</v>
      </c>
      <c r="AB5" s="2" t="str">
        <f>IF(AA5= TRUE, "Marine Option|", "")</f>
        <v/>
      </c>
      <c r="AC5" s="2" t="s">
        <v>396</v>
      </c>
      <c r="AD5" s="2" t="b">
        <v>1</v>
      </c>
      <c r="AE5" s="2" t="str">
        <f>IF(AD5= TRUE, "Cooperative housing|", "")</f>
        <v>Cooperative housing|</v>
      </c>
      <c r="AL5" s="2" t="b">
        <v>0</v>
      </c>
      <c r="AM5" s="2" t="str">
        <f>IF(AL5= TRUE, "State aid form|", "")</f>
        <v/>
      </c>
      <c r="AN5" s="19" t="b">
        <v>0</v>
      </c>
      <c r="AO5" s="2" t="str">
        <f>IF(AN5= TRUE, "Federal Perkins Loans | ", "")</f>
        <v/>
      </c>
      <c r="AP5" s="19" t="b">
        <v>0</v>
      </c>
      <c r="AQ5" s="2" t="str">
        <f>IF(AP5= TRUE, "Private Scholarships| ", "")</f>
        <v/>
      </c>
      <c r="AR5" s="19" t="b">
        <v>0</v>
      </c>
      <c r="AS5" s="2" t="str">
        <f>IF(AR5= TRUE, "Athletics| ", "")</f>
        <v/>
      </c>
      <c r="AT5" s="2" t="b">
        <v>0</v>
      </c>
      <c r="AU5" s="2" t="str">
        <f>IF(AT5= TRUE, "Athletics| ", "")</f>
        <v/>
      </c>
    </row>
    <row r="6" spans="1:47">
      <c r="A6" s="19" t="b">
        <v>0</v>
      </c>
      <c r="B6" s="17" t="str" cm="1">
        <f t="array" ref="B6">_xlfn.IFS(A6=TRUE, "Terminal|",A6=FALSE, "")</f>
        <v/>
      </c>
      <c r="E6" s="1" t="b">
        <v>0</v>
      </c>
      <c r="F6" s="1" t="str">
        <f>IF(E6= TRUE, "Institutional Exam|", "")</f>
        <v/>
      </c>
      <c r="O6" s="27" t="s">
        <v>397</v>
      </c>
      <c r="P6" s="1" t="b">
        <v>1</v>
      </c>
      <c r="Q6" s="1" t="str">
        <f>IF(P6= TRUE, "Double major|", "")</f>
        <v>Double major|</v>
      </c>
      <c r="S6" s="27" t="s">
        <v>398</v>
      </c>
      <c r="T6" s="1" t="b">
        <v>1</v>
      </c>
      <c r="U6" s="1" t="str">
        <f>IF(T6= TRUE, "History|", "")</f>
        <v>History|</v>
      </c>
      <c r="W6" s="2" t="s">
        <v>399</v>
      </c>
      <c r="X6" s="2" t="b">
        <v>1</v>
      </c>
      <c r="Y6" s="2" t="str">
        <f>IF(X6= TRUE, "Drama/theater|", "")</f>
        <v>Drama/theater|</v>
      </c>
      <c r="Z6" s="2" t="s">
        <v>400</v>
      </c>
      <c r="AA6" s="2" t="b">
        <v>1</v>
      </c>
      <c r="AB6" s="2" t="str">
        <f>IF(AA6= TRUE, "On Campus|", "")</f>
        <v>On Campus|</v>
      </c>
      <c r="AC6" s="2" t="s">
        <v>401</v>
      </c>
      <c r="AD6" s="2" t="b">
        <v>1</v>
      </c>
      <c r="AE6" s="2" t="str">
        <f>IF(AD6= TRUE, "Fraternity/sorority housing|", "")</f>
        <v>Fraternity/sorority housing|</v>
      </c>
      <c r="AL6" s="2" t="b">
        <v>0</v>
      </c>
      <c r="AM6" s="2" t="str">
        <f>IF(AL6= TRUE, "Business/Farm Supplement|", "")</f>
        <v/>
      </c>
      <c r="AN6" s="19" t="b">
        <v>0</v>
      </c>
      <c r="AO6" s="2" t="str">
        <f>IF(AN6= TRUE, "Federal Nursing Loans | ", "")</f>
        <v/>
      </c>
      <c r="AP6" s="19" t="b">
        <v>0</v>
      </c>
      <c r="AQ6" s="2" t="str">
        <f>IF(AP6= TRUE, "College/university scholarship or grant aid from institutional funds| ", "")</f>
        <v/>
      </c>
      <c r="AR6" s="19" t="b">
        <v>0</v>
      </c>
      <c r="AS6" s="2" t="str">
        <f>IF(AR6= TRUE, "Job Skills| ", "")</f>
        <v/>
      </c>
      <c r="AT6" s="2" t="b">
        <v>0</v>
      </c>
      <c r="AU6" s="2" t="str">
        <f>IF(AT6= TRUE, "Job Skills| ", "")</f>
        <v/>
      </c>
    </row>
    <row r="7" spans="1:47">
      <c r="A7" s="19" t="b">
        <v>0</v>
      </c>
      <c r="B7" s="17" t="str" cm="1">
        <f t="array" ref="B7">_xlfn.IFS(A7=TRUE, "Bachelor's|",A7=FALSE, "")</f>
        <v/>
      </c>
      <c r="E7" s="1" t="b">
        <v>0</v>
      </c>
      <c r="F7" s="1" t="str">
        <f>IF(E7= TRUE, "State Exam|", "")</f>
        <v/>
      </c>
      <c r="O7" s="27" t="s">
        <v>402</v>
      </c>
      <c r="P7" s="1" t="b">
        <v>0</v>
      </c>
      <c r="Q7" s="1" t="str">
        <f>IF(P7= TRUE, "Dual enrollment|", "")</f>
        <v/>
      </c>
      <c r="S7" s="27" t="s">
        <v>403</v>
      </c>
      <c r="T7" s="1" t="b">
        <v>1</v>
      </c>
      <c r="U7" s="1" t="str">
        <f>IF(T7= TRUE, "Humanities|", "")</f>
        <v>Humanities|</v>
      </c>
      <c r="W7" s="2" t="s">
        <v>404</v>
      </c>
      <c r="X7" s="2" t="b">
        <v>1</v>
      </c>
      <c r="Y7" s="2" t="str">
        <f>IF(X7= TRUE, "International Student Organization|", "")</f>
        <v>International Student Organization|</v>
      </c>
      <c r="Z7" s="2" t="s">
        <v>405</v>
      </c>
      <c r="AA7" s="2" t="b">
        <v>0</v>
      </c>
      <c r="AB7" s="2" t="str">
        <f>IF(AA7= TRUE, "At cooperating institution|", "")</f>
        <v/>
      </c>
      <c r="AC7" s="2" t="s">
        <v>406</v>
      </c>
      <c r="AD7" s="2" t="b">
        <v>1</v>
      </c>
      <c r="AE7" s="2" t="str">
        <f>IF(AD7= TRUE, "Living Learning Communities|", "")</f>
        <v>Living Learning Communities|</v>
      </c>
      <c r="AL7" s="2" t="b">
        <v>0</v>
      </c>
      <c r="AM7" s="2" t="str">
        <f>IF(AL7= TRUE, "Other", "")</f>
        <v/>
      </c>
      <c r="AN7" s="19" t="b">
        <v>0</v>
      </c>
      <c r="AO7" s="2" t="str">
        <f>IF(AN7= TRUE, "State Loans | ", "")</f>
        <v/>
      </c>
      <c r="AP7" s="19" t="b">
        <v>0</v>
      </c>
      <c r="AQ7" s="2" t="str">
        <f>IF(AP7= TRUE, "United Negro College Fund| ", "")</f>
        <v/>
      </c>
      <c r="AR7" s="19" t="b">
        <v>0</v>
      </c>
      <c r="AS7" s="2" t="str">
        <f>IF(AR7= TRUE, "ROTC| ", "")</f>
        <v/>
      </c>
      <c r="AT7" s="2" t="b">
        <v>0</v>
      </c>
      <c r="AU7" s="2" t="str">
        <f>IF(AT7= TRUE, "ROTC| ", "")</f>
        <v/>
      </c>
    </row>
    <row r="8" spans="1:47">
      <c r="A8" s="19" t="b">
        <v>1</v>
      </c>
      <c r="B8" s="17" t="str" cm="1">
        <f t="array" ref="B8">_xlfn.IFS(A8=TRUE,"Postbachelor's certificate|", A8=FALSE, "")</f>
        <v>Postbachelor's certificate|</v>
      </c>
      <c r="O8" s="27" t="s">
        <v>407</v>
      </c>
      <c r="P8" s="1" t="b">
        <v>1</v>
      </c>
      <c r="Q8" s="1" t="str">
        <f>IF(P8= TRUE, "English as a Second Language (ESL)|", "")</f>
        <v>English as a Second Language (ESL)|</v>
      </c>
      <c r="S8" s="27" t="s">
        <v>408</v>
      </c>
      <c r="T8" s="1" t="b">
        <v>1</v>
      </c>
      <c r="U8" s="1" t="str">
        <f>IF(T8= TRUE, "Intensive writing|", "")</f>
        <v>Intensive writing|</v>
      </c>
      <c r="W8" s="2" t="s">
        <v>409</v>
      </c>
      <c r="X8" s="2" t="b">
        <v>1</v>
      </c>
      <c r="Y8" s="2" t="str">
        <f>IF(X8= TRUE, "Jazz band|", "")</f>
        <v>Jazz band|</v>
      </c>
      <c r="AC8" s="2" t="s">
        <v>410</v>
      </c>
      <c r="AD8" s="2" t="b">
        <v>0</v>
      </c>
      <c r="AE8" s="2" t="str">
        <f>IF(AD8= TRUE, "Other Housing Options|", "")</f>
        <v/>
      </c>
      <c r="AN8" s="19" t="b">
        <v>0</v>
      </c>
      <c r="AO8" s="2" t="str">
        <f>IF(AN8= TRUE, "College/university loans from institutional funds | ", "")</f>
        <v/>
      </c>
      <c r="AP8" s="19" t="b">
        <v>0</v>
      </c>
      <c r="AQ8" s="2" t="str">
        <f>IF(AP8= TRUE, "Federal Nursing Scholarship| ", "")</f>
        <v/>
      </c>
      <c r="AR8" s="19" t="b">
        <v>0</v>
      </c>
      <c r="AS8" s="2" t="str">
        <f>IF(AR8= TRUE, "Leadership| ", "")</f>
        <v/>
      </c>
      <c r="AT8" s="2" t="b">
        <v>0</v>
      </c>
      <c r="AU8" s="2" t="str">
        <f>IF(AT8= TRUE, "Leadership| ", "")</f>
        <v/>
      </c>
    </row>
    <row r="9" spans="1:47">
      <c r="A9" s="19" t="b">
        <v>1</v>
      </c>
      <c r="B9" s="17" t="str" cm="1">
        <f t="array" ref="B9">_xlfn.IFS(A9= TRUE, "Master's|",A9=FALSE, "")</f>
        <v>Master's|</v>
      </c>
      <c r="O9" s="27" t="s">
        <v>411</v>
      </c>
      <c r="P9" s="1" t="b">
        <v>1</v>
      </c>
      <c r="Q9" s="1" t="str">
        <f>IF(P9= TRUE, "Exchange student program (domestic) |", "")</f>
        <v>Exchange student program (domestic) |</v>
      </c>
      <c r="S9" s="27" t="s">
        <v>412</v>
      </c>
      <c r="T9" s="1" t="b">
        <v>1</v>
      </c>
      <c r="U9" s="1" t="str">
        <f>IF(T9= TRUE, "Mathematics|", "")</f>
        <v>Mathematics|</v>
      </c>
      <c r="W9" s="2" t="s">
        <v>413</v>
      </c>
      <c r="X9" s="2" t="b">
        <v>1</v>
      </c>
      <c r="Y9" s="2" t="str">
        <f>IF(X9= TRUE, "Literary magazine|", "")</f>
        <v>Literary magazine|</v>
      </c>
      <c r="Z9" s="2" t="s">
        <v>414</v>
      </c>
      <c r="AA9" s="2" t="b">
        <v>0</v>
      </c>
      <c r="AB9" s="2" t="str">
        <f>IF(AA9= TRUE, "On Campus|", "")</f>
        <v/>
      </c>
      <c r="AC9" s="2" t="s">
        <v>415</v>
      </c>
      <c r="AD9" s="2" t="b">
        <v>0</v>
      </c>
      <c r="AE9" s="2" t="str">
        <f>IF(AD9= TRUE, "Men's residence halls|", "")</f>
        <v/>
      </c>
      <c r="AN9" s="19" t="b">
        <v>0</v>
      </c>
      <c r="AO9" s="2" t="str">
        <f>IF(AN9= TRUE, "Other |", "")</f>
        <v/>
      </c>
      <c r="AP9" s="19" t="b">
        <v>0</v>
      </c>
      <c r="AQ9" s="2" t="str">
        <f>IF(AP9= TRUE, "Other", "")</f>
        <v/>
      </c>
      <c r="AR9" s="19" t="b">
        <v>0</v>
      </c>
      <c r="AS9" s="2" t="str">
        <f>IF(AR9= TRUE, "Minority Status| ", "")</f>
        <v/>
      </c>
      <c r="AT9" s="2" t="b">
        <v>0</v>
      </c>
      <c r="AU9" s="2" t="str">
        <f>IF(AT9= TRUE, "Minority Status| ", "")</f>
        <v/>
      </c>
    </row>
    <row r="10" spans="1:47">
      <c r="A10" s="19" t="b">
        <v>1</v>
      </c>
      <c r="B10" s="17" t="str" cm="1">
        <f t="array" ref="B10">_xlfn.IFS(A10=TRUE, "Post-master's certificate|",A10=FALSE, "")</f>
        <v>Post-master's certificate|</v>
      </c>
      <c r="O10" s="27" t="s">
        <v>416</v>
      </c>
      <c r="P10" s="1" t="b">
        <v>0</v>
      </c>
      <c r="Q10" s="1" t="str">
        <f>IF(P10= TRUE, "External degree program|", "")</f>
        <v/>
      </c>
      <c r="S10" s="27" t="s">
        <v>417</v>
      </c>
      <c r="T10" s="1" t="b">
        <v>0</v>
      </c>
      <c r="U10" s="1" t="str">
        <f>IF(T10= TRUE, "Philosophy|", "")</f>
        <v/>
      </c>
      <c r="W10" s="2" t="s">
        <v>418</v>
      </c>
      <c r="X10" s="2" t="b">
        <v>1</v>
      </c>
      <c r="Y10" s="2" t="str">
        <f>IF(X10= TRUE, "Marching band|", "")</f>
        <v>Marching band|</v>
      </c>
      <c r="Z10" s="2" t="s">
        <v>419</v>
      </c>
      <c r="AA10" s="2" t="b">
        <v>0</v>
      </c>
      <c r="AB10" s="2" t="str">
        <f>IF(AA10= TRUE, "At cooperating institution|", "")</f>
        <v/>
      </c>
      <c r="AC10" s="2" t="s">
        <v>420</v>
      </c>
      <c r="AD10" s="2" t="b">
        <v>1</v>
      </c>
      <c r="AE10" s="2" t="str">
        <f>IF(AD10= TRUE, "Special housing for international students|", "")</f>
        <v>Special housing for international students|</v>
      </c>
      <c r="AR10" s="19" t="b">
        <v>0</v>
      </c>
      <c r="AS10" s="2" t="str">
        <f>IF(AR10= TRUE, "Music/Drama| ", "")</f>
        <v/>
      </c>
      <c r="AT10" s="2" t="b">
        <v>0</v>
      </c>
      <c r="AU10" s="2" t="str">
        <f>IF(AT10= TRUE, "Music/Drama| ", "")</f>
        <v/>
      </c>
    </row>
    <row r="11" spans="1:47">
      <c r="A11" s="19" t="b">
        <v>1</v>
      </c>
      <c r="B11" s="17" t="str" cm="1">
        <f t="array" ref="B11">_xlfn.IFS(A11= TRUE, "Doctoral degree - research/scholarship|",A11=FALSE, "")</f>
        <v>Doctoral degree - research/scholarship|</v>
      </c>
      <c r="O11" s="27" t="s">
        <v>421</v>
      </c>
      <c r="P11" s="1" t="b">
        <v>1</v>
      </c>
      <c r="Q11" s="1" t="str">
        <f>IF(P11= TRUE, "Honors program|", "")</f>
        <v>Honors program|</v>
      </c>
      <c r="S11" s="27" t="s">
        <v>422</v>
      </c>
      <c r="T11" s="1" t="b">
        <v>0</v>
      </c>
      <c r="U11" s="1" t="str">
        <f>IF(T11= TRUE, "Physical Education|", "")</f>
        <v/>
      </c>
      <c r="W11" s="2" t="s">
        <v>423</v>
      </c>
      <c r="X11" s="2" t="b">
        <v>0</v>
      </c>
      <c r="Y11" s="2" t="str">
        <f>IF(X11= TRUE, "Model UN|", "")</f>
        <v/>
      </c>
      <c r="AC11" s="2" t="s">
        <v>424</v>
      </c>
      <c r="AD11" s="2" t="b">
        <v>1</v>
      </c>
      <c r="AE11" s="2" t="str">
        <f>IF(AD11= TRUE, "Special housing for students with disabilities|", "")</f>
        <v>Special housing for students with disabilities|</v>
      </c>
      <c r="AR11" s="19" t="b">
        <v>0</v>
      </c>
      <c r="AS11" s="2" t="str">
        <f>IF(AR11= TRUE, "Religious Affiliation| ", "")</f>
        <v/>
      </c>
      <c r="AT11" s="2" t="b">
        <v>0</v>
      </c>
      <c r="AU11" s="2" t="str">
        <f>IF(AT11= TRUE, "Religious Affiliation| ", "")</f>
        <v/>
      </c>
    </row>
    <row r="12" spans="1:47">
      <c r="A12" s="19" t="b">
        <v>1</v>
      </c>
      <c r="B12" s="17" t="str" cm="1">
        <f t="array" ref="B12">_xlfn.IFS(A12= TRUE, "Doctoral degree - professional practice|",A12=FALSE, "")</f>
        <v>Doctoral degree - professional practice|</v>
      </c>
      <c r="O12" s="27" t="s">
        <v>425</v>
      </c>
      <c r="P12" s="1" t="b">
        <v>1</v>
      </c>
      <c r="Q12" s="1" t="str">
        <f>IF(P12= TRUE, "Independent study|", "")</f>
        <v>Independent study|</v>
      </c>
      <c r="S12" s="27" t="s">
        <v>426</v>
      </c>
      <c r="T12" s="1" t="b">
        <v>1</v>
      </c>
      <c r="U12" s="1" t="str">
        <f>IF(T12= TRUE, "Sciences (biological or physical)|", "")</f>
        <v>Sciences (biological or physical)|</v>
      </c>
      <c r="W12" s="2" t="s">
        <v>427</v>
      </c>
      <c r="X12" s="2" t="b">
        <v>1</v>
      </c>
      <c r="Y12" s="2" t="str">
        <f>IF(X12= TRUE, "Music ensembles|", "")</f>
        <v>Music ensembles|</v>
      </c>
      <c r="AC12" s="2" t="s">
        <v>428</v>
      </c>
      <c r="AD12" s="2" t="b">
        <v>0</v>
      </c>
      <c r="AE12" s="2" t="str">
        <f>IF(AD12= TRUE, "Theme housing|", "")</f>
        <v/>
      </c>
      <c r="AR12" s="19" t="b">
        <v>0</v>
      </c>
      <c r="AS12" s="2" t="str">
        <f>IF(AR12= TRUE, "State/District residency", "")</f>
        <v/>
      </c>
      <c r="AT12" s="2" t="b">
        <v>0</v>
      </c>
      <c r="AU12" s="2" t="str">
        <f>IF(AT12= TRUE, "State/District residency", "")</f>
        <v/>
      </c>
    </row>
    <row r="13" spans="1:47">
      <c r="A13" s="19" t="b">
        <v>0</v>
      </c>
      <c r="B13" s="17" t="str" cm="1">
        <f t="array" ref="B13">_xlfn.IFS(A13= TRUE, "Doctoral degree - other|",A13=FALSE, "")</f>
        <v/>
      </c>
      <c r="O13" s="27" t="s">
        <v>429</v>
      </c>
      <c r="P13" s="1" t="b">
        <v>1</v>
      </c>
      <c r="Q13" s="1" t="str">
        <f>IF(P13= TRUE, "Internships|", "")</f>
        <v>Internships|</v>
      </c>
      <c r="S13" s="27" t="s">
        <v>430</v>
      </c>
      <c r="T13" s="1" t="b">
        <v>1</v>
      </c>
      <c r="U13" s="1" t="str">
        <f>IF(T13= TRUE, "Social Science|", "")</f>
        <v>Social Science|</v>
      </c>
      <c r="W13" s="2" t="s">
        <v>431</v>
      </c>
      <c r="X13" s="2" t="b">
        <v>1</v>
      </c>
      <c r="Y13" s="2" t="str">
        <f>IF(X13= TRUE, "Opera|", "")</f>
        <v>Opera|</v>
      </c>
      <c r="AC13" s="2" t="s">
        <v>432</v>
      </c>
      <c r="AD13" s="2" t="b">
        <v>1</v>
      </c>
      <c r="AE13" s="2" t="str">
        <f>IF(AD13= TRUE, "Women's residence halls|", "")</f>
        <v>Women's residence halls|</v>
      </c>
    </row>
    <row r="14" spans="1:47">
      <c r="O14" s="27" t="s">
        <v>433</v>
      </c>
      <c r="P14" s="1" t="b">
        <v>0</v>
      </c>
      <c r="Q14" s="1" t="str">
        <f>IF(P14= TRUE, "Liberal arts/career combination|", "")</f>
        <v/>
      </c>
      <c r="S14" s="27" t="s">
        <v>434</v>
      </c>
      <c r="T14" s="1" t="b">
        <v>0</v>
      </c>
      <c r="U14" s="1" t="str">
        <f>IF(T14= TRUE, "Other|", "")</f>
        <v/>
      </c>
      <c r="W14" s="2" t="s">
        <v>435</v>
      </c>
      <c r="X14" s="2" t="b">
        <v>1</v>
      </c>
      <c r="Y14" s="2" t="str">
        <f>IF(X14= TRUE, "Pep band|", "")</f>
        <v>Pep band|</v>
      </c>
    </row>
    <row r="15" spans="1:47">
      <c r="O15" s="27" t="s">
        <v>436</v>
      </c>
      <c r="P15" s="1" t="b">
        <v>1</v>
      </c>
      <c r="Q15" s="1" t="str">
        <f>IF(P15= TRUE, "Student-designed major|", "")</f>
        <v>Student-designed major|</v>
      </c>
      <c r="W15" s="2" t="s">
        <v>437</v>
      </c>
      <c r="X15" s="2" t="b">
        <v>1</v>
      </c>
      <c r="Y15" s="2" t="str">
        <f>IF(X15= TRUE, "Radio station|", "")</f>
        <v>Radio station|</v>
      </c>
    </row>
    <row r="16" spans="1:47">
      <c r="O16" s="27" t="s">
        <v>438</v>
      </c>
      <c r="P16" s="1" t="b">
        <v>1</v>
      </c>
      <c r="Q16" s="1" t="str">
        <f>IF(P16= TRUE, "Study abroad|", "")</f>
        <v>Study abroad|</v>
      </c>
      <c r="W16" s="2" t="s">
        <v>439</v>
      </c>
      <c r="X16" s="2" t="b">
        <v>1</v>
      </c>
      <c r="Y16" s="2" t="str">
        <f>IF(X16= TRUE, "Student government|", "")</f>
        <v>Student government|</v>
      </c>
    </row>
    <row r="17" spans="15:25">
      <c r="O17" s="27" t="s">
        <v>440</v>
      </c>
      <c r="P17" s="1" t="b">
        <v>1</v>
      </c>
      <c r="Q17" s="1" t="str">
        <f>IF(P17= TRUE, "Teacher certification program|", "")</f>
        <v>Teacher certification program|</v>
      </c>
      <c r="W17" s="2" t="s">
        <v>441</v>
      </c>
      <c r="X17" s="2" t="b">
        <v>1</v>
      </c>
      <c r="Y17" s="2" t="str">
        <f>IF(X17= TRUE, "Student newspaper|", "")</f>
        <v>Student newspaper|</v>
      </c>
    </row>
    <row r="18" spans="15:25">
      <c r="O18" s="27" t="s">
        <v>442</v>
      </c>
      <c r="P18" s="1" t="b">
        <v>1</v>
      </c>
      <c r="Q18" s="1" t="str">
        <f>IF(P18= TRUE, "Undergraduate research|", "")</f>
        <v>Undergraduate research|</v>
      </c>
      <c r="W18" s="2" t="s">
        <v>443</v>
      </c>
      <c r="X18" s="2" t="b">
        <v>1</v>
      </c>
      <c r="Y18" s="2" t="str">
        <f>IF(X18= TRUE, "Student-run film society|", "")</f>
        <v>Student-run film society|</v>
      </c>
    </row>
    <row r="19" spans="15:25">
      <c r="O19" s="27" t="s">
        <v>444</v>
      </c>
      <c r="P19" s="1" t="b">
        <v>0</v>
      </c>
      <c r="Q19" s="1" t="str">
        <f>IF(P19= TRUE, "Weekend college|", "")</f>
        <v/>
      </c>
      <c r="W19" s="2" t="s">
        <v>445</v>
      </c>
      <c r="X19" s="2" t="b">
        <v>1</v>
      </c>
      <c r="Y19" s="2" t="str">
        <f>IF(X19= TRUE, "Symphony orchestra|", "")</f>
        <v>Symphony orchestra|</v>
      </c>
    </row>
    <row r="20" spans="15:25">
      <c r="O20" s="27" t="s">
        <v>3</v>
      </c>
      <c r="P20" s="1" t="b">
        <v>0</v>
      </c>
      <c r="Q20" s="1" t="str">
        <f>IF(P20= TRUE, "Other|", "")</f>
        <v/>
      </c>
      <c r="W20" s="2" t="s">
        <v>446</v>
      </c>
      <c r="X20" s="2" t="b">
        <v>1</v>
      </c>
      <c r="Y20" s="2" t="str">
        <f>IF(X20= TRUE, "Television station|", "")</f>
        <v>Television station|</v>
      </c>
    </row>
    <row r="21" spans="15:25">
      <c r="W21" s="2" t="s">
        <v>447</v>
      </c>
      <c r="X21" s="2" t="b">
        <v>1</v>
      </c>
      <c r="Y21" s="2" t="str">
        <f>IF(X21= TRUE, "Yearbook|", "")</f>
        <v>Yearbook|</v>
      </c>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heetViews>
  <sheetFormatPr defaultColWidth="10.875" defaultRowHeight="15.75"/>
  <cols>
    <col min="1" max="1" width="10.875" style="2"/>
    <col min="2" max="2" width="16.375" style="2" customWidth="1"/>
    <col min="3" max="3" width="20.5" style="2" customWidth="1"/>
    <col min="4" max="5" width="19.125" style="2" customWidth="1"/>
    <col min="6" max="6" width="17" style="2" customWidth="1"/>
    <col min="7" max="7" width="48.375" style="2" customWidth="1"/>
    <col min="8" max="8" width="27.625" style="2" customWidth="1"/>
    <col min="9" max="9" width="94" style="2" customWidth="1"/>
    <col min="10" max="10" width="13.625" style="2" customWidth="1"/>
    <col min="11" max="11" width="45" style="2" customWidth="1"/>
    <col min="12" max="12" width="10.875" style="2" customWidth="1"/>
    <col min="13" max="13" width="30.375" style="2" customWidth="1"/>
    <col min="14" max="14" width="65" style="2" bestFit="1" customWidth="1"/>
    <col min="15" max="16" width="10.875" style="2" customWidth="1"/>
    <col min="17" max="17" width="23.875" style="2" customWidth="1"/>
    <col min="18" max="18" width="13" style="2" customWidth="1"/>
    <col min="19" max="19" width="18.875" style="2" bestFit="1" customWidth="1"/>
    <col min="20" max="20" width="26.625" style="2" bestFit="1" customWidth="1"/>
    <col min="21" max="16384" width="10.875" style="2"/>
  </cols>
  <sheetData>
    <row r="1" spans="1:20">
      <c r="A1" s="2" t="s">
        <v>5</v>
      </c>
      <c r="B1" s="2" t="s">
        <v>6</v>
      </c>
      <c r="C1" s="2" t="s">
        <v>7</v>
      </c>
      <c r="D1" s="2" t="s">
        <v>8</v>
      </c>
      <c r="E1" s="2" t="s">
        <v>1346</v>
      </c>
      <c r="F1" s="2" t="s">
        <v>9</v>
      </c>
      <c r="G1" s="2" t="s">
        <v>10</v>
      </c>
      <c r="H1" s="2" t="s">
        <v>11</v>
      </c>
      <c r="I1" s="2" t="s">
        <v>12</v>
      </c>
      <c r="J1" s="2" t="s">
        <v>13</v>
      </c>
      <c r="K1" s="2" t="s">
        <v>14</v>
      </c>
      <c r="L1" s="2" t="s">
        <v>15</v>
      </c>
      <c r="M1" s="2" t="s">
        <v>16</v>
      </c>
      <c r="N1" s="2" t="s">
        <v>1359</v>
      </c>
      <c r="O1" s="2" t="s">
        <v>1350</v>
      </c>
      <c r="P1" s="2" t="s">
        <v>17</v>
      </c>
      <c r="Q1" s="20" t="s">
        <v>1357</v>
      </c>
      <c r="R1" s="2" t="s">
        <v>18</v>
      </c>
      <c r="S1" s="2" t="s">
        <v>19</v>
      </c>
      <c r="T1" s="2" t="s">
        <v>20</v>
      </c>
    </row>
    <row r="2" spans="1:20">
      <c r="A2" s="2" t="s">
        <v>21</v>
      </c>
      <c r="B2" s="2" t="s">
        <v>22</v>
      </c>
      <c r="C2" s="2" t="s">
        <v>23</v>
      </c>
      <c r="D2" s="2" t="s">
        <v>24</v>
      </c>
      <c r="E2" s="2" t="s">
        <v>1347</v>
      </c>
      <c r="F2" s="20" t="s">
        <v>25</v>
      </c>
      <c r="G2" s="2" t="s">
        <v>26</v>
      </c>
      <c r="H2" s="2" t="s">
        <v>27</v>
      </c>
      <c r="I2" s="2" t="s">
        <v>28</v>
      </c>
      <c r="J2" s="2" t="s">
        <v>29</v>
      </c>
      <c r="K2" s="2" t="s">
        <v>30</v>
      </c>
      <c r="L2" s="2" t="s">
        <v>31</v>
      </c>
      <c r="M2" s="2" t="s">
        <v>32</v>
      </c>
      <c r="N2" s="2" t="s">
        <v>1349</v>
      </c>
      <c r="O2" s="2" t="s">
        <v>1351</v>
      </c>
      <c r="P2" s="2" t="s">
        <v>33</v>
      </c>
      <c r="Q2" s="20" t="s">
        <v>1358</v>
      </c>
      <c r="R2" s="2" t="s">
        <v>34</v>
      </c>
      <c r="S2" s="2" t="s">
        <v>35</v>
      </c>
      <c r="T2" s="2" t="s">
        <v>36</v>
      </c>
    </row>
    <row r="3" spans="1:20">
      <c r="B3" s="2" t="s">
        <v>37</v>
      </c>
      <c r="C3" s="2" t="s">
        <v>38</v>
      </c>
      <c r="D3" s="2" t="s">
        <v>39</v>
      </c>
      <c r="E3" s="2" t="s">
        <v>1348</v>
      </c>
      <c r="F3" s="20" t="s">
        <v>40</v>
      </c>
      <c r="G3" s="2" t="s">
        <v>41</v>
      </c>
      <c r="H3" s="2" t="s">
        <v>42</v>
      </c>
      <c r="I3" s="2" t="s">
        <v>43</v>
      </c>
      <c r="J3" s="2" t="s">
        <v>44</v>
      </c>
      <c r="K3" s="2" t="s">
        <v>45</v>
      </c>
      <c r="L3" s="2" t="s">
        <v>46</v>
      </c>
      <c r="M3" s="2" t="s">
        <v>3</v>
      </c>
      <c r="N3" s="2" t="s">
        <v>47</v>
      </c>
      <c r="O3" s="2" t="s">
        <v>21</v>
      </c>
      <c r="Q3" s="20" t="s">
        <v>48</v>
      </c>
      <c r="R3" s="2" t="s">
        <v>49</v>
      </c>
      <c r="T3" s="2" t="s">
        <v>50</v>
      </c>
    </row>
    <row r="4" spans="1:20">
      <c r="B4" s="2" t="s">
        <v>51</v>
      </c>
      <c r="C4" s="2" t="s">
        <v>52</v>
      </c>
      <c r="F4" s="20" t="s">
        <v>53</v>
      </c>
      <c r="I4" s="2" t="s">
        <v>3</v>
      </c>
      <c r="J4" s="2" t="s">
        <v>54</v>
      </c>
      <c r="K4" s="2" t="s">
        <v>55</v>
      </c>
      <c r="Q4" s="20" t="s">
        <v>56</v>
      </c>
    </row>
    <row r="5" spans="1:20">
      <c r="B5" s="2" t="s">
        <v>57</v>
      </c>
      <c r="C5" s="2" t="s">
        <v>58</v>
      </c>
      <c r="F5" s="20" t="s">
        <v>59</v>
      </c>
      <c r="K5" s="2" t="s">
        <v>60</v>
      </c>
      <c r="Q5" s="20" t="s">
        <v>61</v>
      </c>
    </row>
    <row r="6" spans="1:20">
      <c r="B6" s="2" t="s">
        <v>62</v>
      </c>
      <c r="C6" s="2" t="s">
        <v>63</v>
      </c>
      <c r="F6" s="20" t="s">
        <v>64</v>
      </c>
    </row>
    <row r="7" spans="1:20">
      <c r="B7" s="2" t="s">
        <v>65</v>
      </c>
      <c r="C7" s="2" t="s">
        <v>66</v>
      </c>
      <c r="F7" s="20" t="s">
        <v>3</v>
      </c>
    </row>
    <row r="8" spans="1:20">
      <c r="B8" s="2" t="s">
        <v>67</v>
      </c>
      <c r="C8" s="2" t="s">
        <v>68</v>
      </c>
    </row>
    <row r="9" spans="1:20">
      <c r="B9" s="2" t="s">
        <v>69</v>
      </c>
      <c r="C9" s="2" t="s">
        <v>70</v>
      </c>
    </row>
    <row r="10" spans="1:20">
      <c r="B10" s="2" t="s">
        <v>71</v>
      </c>
      <c r="C10" s="2" t="s">
        <v>72</v>
      </c>
    </row>
    <row r="11" spans="1:20">
      <c r="B11" s="2" t="s">
        <v>73</v>
      </c>
      <c r="C11" s="2" t="s">
        <v>74</v>
      </c>
    </row>
    <row r="12" spans="1:20">
      <c r="B12" s="2" t="s">
        <v>75</v>
      </c>
      <c r="C12" s="2" t="s">
        <v>76</v>
      </c>
    </row>
    <row r="13" spans="1:20">
      <c r="B13" s="2" t="s">
        <v>77</v>
      </c>
      <c r="C13" s="2" t="s">
        <v>78</v>
      </c>
    </row>
    <row r="14" spans="1:20">
      <c r="B14" s="2" t="s">
        <v>79</v>
      </c>
      <c r="C14" s="2" t="s">
        <v>80</v>
      </c>
    </row>
    <row r="15" spans="1:20">
      <c r="B15" s="2" t="s">
        <v>81</v>
      </c>
      <c r="C15" s="2" t="s">
        <v>82</v>
      </c>
    </row>
    <row r="16" spans="1:20">
      <c r="B16" s="2" t="s">
        <v>83</v>
      </c>
      <c r="C16" s="2" t="s">
        <v>84</v>
      </c>
    </row>
    <row r="17" spans="2:3">
      <c r="B17" s="2" t="s">
        <v>85</v>
      </c>
      <c r="C17" s="2" t="s">
        <v>86</v>
      </c>
    </row>
    <row r="18" spans="2:3">
      <c r="B18" s="2" t="s">
        <v>87</v>
      </c>
      <c r="C18" s="2" t="s">
        <v>88</v>
      </c>
    </row>
    <row r="19" spans="2:3">
      <c r="B19" s="2" t="s">
        <v>89</v>
      </c>
      <c r="C19" s="2" t="s">
        <v>90</v>
      </c>
    </row>
    <row r="20" spans="2:3">
      <c r="B20" s="2" t="s">
        <v>91</v>
      </c>
      <c r="C20" s="2" t="s">
        <v>92</v>
      </c>
    </row>
    <row r="21" spans="2:3">
      <c r="B21" s="2" t="s">
        <v>93</v>
      </c>
      <c r="C21" s="2" t="s">
        <v>94</v>
      </c>
    </row>
    <row r="22" spans="2:3">
      <c r="B22" s="2" t="s">
        <v>95</v>
      </c>
      <c r="C22" s="2" t="s">
        <v>96</v>
      </c>
    </row>
    <row r="23" spans="2:3">
      <c r="B23" s="2" t="s">
        <v>97</v>
      </c>
      <c r="C23" s="2" t="s">
        <v>98</v>
      </c>
    </row>
    <row r="24" spans="2:3">
      <c r="B24" s="2" t="s">
        <v>99</v>
      </c>
      <c r="C24" s="2" t="s">
        <v>100</v>
      </c>
    </row>
    <row r="25" spans="2:3">
      <c r="B25" s="2" t="s">
        <v>101</v>
      </c>
      <c r="C25" s="2" t="s">
        <v>102</v>
      </c>
    </row>
    <row r="26" spans="2:3">
      <c r="B26" s="2" t="s">
        <v>103</v>
      </c>
      <c r="C26" s="2" t="s">
        <v>104</v>
      </c>
    </row>
    <row r="27" spans="2:3">
      <c r="B27" s="2" t="s">
        <v>105</v>
      </c>
      <c r="C27" s="2" t="s">
        <v>106</v>
      </c>
    </row>
    <row r="28" spans="2:3">
      <c r="B28" s="2" t="s">
        <v>107</v>
      </c>
      <c r="C28" s="2" t="s">
        <v>108</v>
      </c>
    </row>
    <row r="29" spans="2:3">
      <c r="B29" s="2" t="s">
        <v>109</v>
      </c>
      <c r="C29" s="2" t="s">
        <v>110</v>
      </c>
    </row>
    <row r="30" spans="2:3">
      <c r="B30" s="2" t="s">
        <v>111</v>
      </c>
      <c r="C30" s="2" t="s">
        <v>112</v>
      </c>
    </row>
    <row r="31" spans="2:3">
      <c r="B31" s="2" t="s">
        <v>113</v>
      </c>
      <c r="C31" s="2" t="s">
        <v>114</v>
      </c>
    </row>
    <row r="32" spans="2:3">
      <c r="B32" s="2" t="s">
        <v>115</v>
      </c>
      <c r="C32" s="2" t="s">
        <v>116</v>
      </c>
    </row>
    <row r="33" spans="2:3">
      <c r="B33" s="2" t="s">
        <v>117</v>
      </c>
      <c r="C33" s="2" t="s">
        <v>118</v>
      </c>
    </row>
    <row r="34" spans="2:3">
      <c r="B34" s="2" t="s">
        <v>119</v>
      </c>
      <c r="C34" s="2" t="s">
        <v>120</v>
      </c>
    </row>
    <row r="35" spans="2:3">
      <c r="B35" s="2" t="s">
        <v>121</v>
      </c>
      <c r="C35" s="2" t="s">
        <v>122</v>
      </c>
    </row>
    <row r="36" spans="2:3">
      <c r="B36" s="2" t="s">
        <v>123</v>
      </c>
      <c r="C36" s="2" t="s">
        <v>124</v>
      </c>
    </row>
    <row r="37" spans="2:3">
      <c r="B37" s="2" t="s">
        <v>125</v>
      </c>
      <c r="C37" s="2" t="s">
        <v>126</v>
      </c>
    </row>
    <row r="38" spans="2:3">
      <c r="B38" s="2" t="s">
        <v>127</v>
      </c>
      <c r="C38" s="2" t="s">
        <v>128</v>
      </c>
    </row>
    <row r="39" spans="2:3">
      <c r="B39" s="2" t="s">
        <v>129</v>
      </c>
      <c r="C39" s="2" t="s">
        <v>130</v>
      </c>
    </row>
    <row r="40" spans="2:3">
      <c r="B40" s="2" t="s">
        <v>131</v>
      </c>
      <c r="C40" s="2" t="s">
        <v>132</v>
      </c>
    </row>
    <row r="41" spans="2:3">
      <c r="B41" s="2" t="s">
        <v>133</v>
      </c>
      <c r="C41" s="2" t="s">
        <v>134</v>
      </c>
    </row>
    <row r="42" spans="2:3">
      <c r="B42" s="2" t="s">
        <v>135</v>
      </c>
      <c r="C42" s="2" t="s">
        <v>136</v>
      </c>
    </row>
    <row r="43" spans="2:3">
      <c r="B43" s="2" t="s">
        <v>137</v>
      </c>
      <c r="C43" s="2" t="s">
        <v>138</v>
      </c>
    </row>
    <row r="44" spans="2:3">
      <c r="B44" s="2" t="s">
        <v>139</v>
      </c>
      <c r="C44" s="2" t="s">
        <v>140</v>
      </c>
    </row>
    <row r="45" spans="2:3">
      <c r="B45" s="2" t="s">
        <v>141</v>
      </c>
      <c r="C45" s="2" t="s">
        <v>142</v>
      </c>
    </row>
    <row r="46" spans="2:3">
      <c r="B46" s="2" t="s">
        <v>143</v>
      </c>
      <c r="C46" s="2" t="s">
        <v>144</v>
      </c>
    </row>
    <row r="47" spans="2:3">
      <c r="B47" s="2" t="s">
        <v>145</v>
      </c>
      <c r="C47" s="2" t="s">
        <v>146</v>
      </c>
    </row>
    <row r="48" spans="2:3">
      <c r="B48" s="2" t="s">
        <v>147</v>
      </c>
      <c r="C48" s="2" t="s">
        <v>148</v>
      </c>
    </row>
    <row r="49" spans="2:3">
      <c r="B49" s="2" t="s">
        <v>149</v>
      </c>
      <c r="C49" s="2" t="s">
        <v>150</v>
      </c>
    </row>
    <row r="50" spans="2:3">
      <c r="B50" s="2" t="s">
        <v>151</v>
      </c>
      <c r="C50" s="2" t="s">
        <v>152</v>
      </c>
    </row>
    <row r="51" spans="2:3">
      <c r="B51" s="2" t="s">
        <v>153</v>
      </c>
      <c r="C51" s="2" t="s">
        <v>154</v>
      </c>
    </row>
    <row r="52" spans="2:3">
      <c r="B52" s="2" t="s">
        <v>155</v>
      </c>
      <c r="C52" s="2" t="s">
        <v>156</v>
      </c>
    </row>
    <row r="53" spans="2:3">
      <c r="B53" s="2" t="s">
        <v>63</v>
      </c>
      <c r="C53" s="2" t="s">
        <v>157</v>
      </c>
    </row>
    <row r="54" spans="2:3">
      <c r="B54" s="2" t="s">
        <v>158</v>
      </c>
      <c r="C54" s="2" t="s">
        <v>159</v>
      </c>
    </row>
    <row r="55" spans="2:3">
      <c r="B55" s="2" t="s">
        <v>160</v>
      </c>
      <c r="C55" s="2" t="s">
        <v>161</v>
      </c>
    </row>
    <row r="56" spans="2:3">
      <c r="B56" s="2" t="s">
        <v>162</v>
      </c>
      <c r="C56" s="2" t="s">
        <v>163</v>
      </c>
    </row>
    <row r="57" spans="2:3">
      <c r="B57" s="2" t="s">
        <v>164</v>
      </c>
      <c r="C57" s="2" t="s">
        <v>165</v>
      </c>
    </row>
    <row r="58" spans="2:3">
      <c r="B58" s="2" t="s">
        <v>166</v>
      </c>
      <c r="C58" s="2" t="s">
        <v>167</v>
      </c>
    </row>
    <row r="59" spans="2:3">
      <c r="B59" s="2" t="s">
        <v>168</v>
      </c>
      <c r="C59" s="2" t="s">
        <v>169</v>
      </c>
    </row>
    <row r="60" spans="2:3">
      <c r="B60" s="2" t="s">
        <v>170</v>
      </c>
      <c r="C60" s="2" t="s">
        <v>171</v>
      </c>
    </row>
    <row r="61" spans="2:3">
      <c r="B61" s="2" t="s">
        <v>172</v>
      </c>
      <c r="C61" s="2" t="s">
        <v>173</v>
      </c>
    </row>
    <row r="62" spans="2:3">
      <c r="B62" s="2" t="s">
        <v>174</v>
      </c>
      <c r="C62" s="2" t="s">
        <v>175</v>
      </c>
    </row>
    <row r="63" spans="2:3">
      <c r="B63" s="2" t="s">
        <v>176</v>
      </c>
      <c r="C63" s="2" t="s">
        <v>177</v>
      </c>
    </row>
    <row r="64" spans="2:3">
      <c r="C64" s="2" t="s">
        <v>178</v>
      </c>
    </row>
    <row r="65" spans="3:3">
      <c r="C65" s="2" t="s">
        <v>179</v>
      </c>
    </row>
    <row r="66" spans="3:3">
      <c r="C66" s="2" t="s">
        <v>180</v>
      </c>
    </row>
    <row r="67" spans="3:3">
      <c r="C67" s="2" t="s">
        <v>181</v>
      </c>
    </row>
    <row r="68" spans="3:3">
      <c r="C68" s="2" t="s">
        <v>182</v>
      </c>
    </row>
    <row r="69" spans="3:3">
      <c r="C69" s="2" t="s">
        <v>183</v>
      </c>
    </row>
    <row r="70" spans="3:3">
      <c r="C70" s="2" t="s">
        <v>184</v>
      </c>
    </row>
    <row r="71" spans="3:3">
      <c r="C71" s="2" t="s">
        <v>185</v>
      </c>
    </row>
    <row r="72" spans="3:3">
      <c r="C72" s="2" t="s">
        <v>186</v>
      </c>
    </row>
    <row r="73" spans="3:3">
      <c r="C73" s="2" t="s">
        <v>187</v>
      </c>
    </row>
    <row r="74" spans="3:3">
      <c r="C74" s="2" t="s">
        <v>188</v>
      </c>
    </row>
    <row r="75" spans="3:3">
      <c r="C75" s="2" t="s">
        <v>189</v>
      </c>
    </row>
    <row r="76" spans="3:3">
      <c r="C76" s="2" t="s">
        <v>190</v>
      </c>
    </row>
    <row r="77" spans="3:3">
      <c r="C77" s="2" t="s">
        <v>191</v>
      </c>
    </row>
    <row r="78" spans="3:3">
      <c r="C78" s="2" t="s">
        <v>192</v>
      </c>
    </row>
    <row r="79" spans="3:3">
      <c r="C79" s="2" t="s">
        <v>193</v>
      </c>
    </row>
    <row r="80" spans="3:3">
      <c r="C80" s="2" t="s">
        <v>194</v>
      </c>
    </row>
    <row r="81" spans="3:3">
      <c r="C81" s="2" t="s">
        <v>195</v>
      </c>
    </row>
    <row r="82" spans="3:3">
      <c r="C82" s="2" t="s">
        <v>196</v>
      </c>
    </row>
    <row r="83" spans="3:3">
      <c r="C83" s="2" t="s">
        <v>73</v>
      </c>
    </row>
    <row r="84" spans="3:3">
      <c r="C84" s="2" t="s">
        <v>197</v>
      </c>
    </row>
    <row r="85" spans="3:3">
      <c r="C85" s="2" t="s">
        <v>198</v>
      </c>
    </row>
    <row r="86" spans="3:3">
      <c r="C86" s="2" t="s">
        <v>199</v>
      </c>
    </row>
    <row r="87" spans="3:3">
      <c r="C87" s="2" t="s">
        <v>200</v>
      </c>
    </row>
    <row r="88" spans="3:3">
      <c r="C88" s="2" t="s">
        <v>201</v>
      </c>
    </row>
    <row r="89" spans="3:3">
      <c r="C89" s="2" t="s">
        <v>202</v>
      </c>
    </row>
    <row r="90" spans="3:3">
      <c r="C90" s="2" t="s">
        <v>203</v>
      </c>
    </row>
    <row r="91" spans="3:3">
      <c r="C91" s="2" t="s">
        <v>160</v>
      </c>
    </row>
    <row r="92" spans="3:3">
      <c r="C92" s="2" t="s">
        <v>204</v>
      </c>
    </row>
    <row r="93" spans="3:3">
      <c r="C93" s="2" t="s">
        <v>205</v>
      </c>
    </row>
    <row r="94" spans="3:3">
      <c r="C94" s="2" t="s">
        <v>206</v>
      </c>
    </row>
    <row r="95" spans="3:3">
      <c r="C95" s="2" t="s">
        <v>207</v>
      </c>
    </row>
    <row r="96" spans="3:3">
      <c r="C96" s="2" t="s">
        <v>208</v>
      </c>
    </row>
    <row r="97" spans="3:3">
      <c r="C97" s="2" t="s">
        <v>209</v>
      </c>
    </row>
    <row r="98" spans="3:3">
      <c r="C98" s="2" t="s">
        <v>210</v>
      </c>
    </row>
    <row r="99" spans="3:3">
      <c r="C99" s="2" t="s">
        <v>211</v>
      </c>
    </row>
    <row r="100" spans="3:3">
      <c r="C100" s="2" t="s">
        <v>212</v>
      </c>
    </row>
    <row r="101" spans="3:3">
      <c r="C101" s="2" t="s">
        <v>213</v>
      </c>
    </row>
    <row r="102" spans="3:3">
      <c r="C102" s="2" t="s">
        <v>214</v>
      </c>
    </row>
    <row r="103" spans="3:3">
      <c r="C103" s="2" t="s">
        <v>215</v>
      </c>
    </row>
    <row r="104" spans="3:3">
      <c r="C104" s="2" t="s">
        <v>216</v>
      </c>
    </row>
    <row r="105" spans="3:3">
      <c r="C105" s="2" t="s">
        <v>217</v>
      </c>
    </row>
    <row r="106" spans="3:3">
      <c r="C106" s="2" t="s">
        <v>218</v>
      </c>
    </row>
    <row r="107" spans="3:3">
      <c r="C107" s="2" t="s">
        <v>219</v>
      </c>
    </row>
    <row r="108" spans="3:3">
      <c r="C108" s="2" t="s">
        <v>220</v>
      </c>
    </row>
    <row r="109" spans="3:3">
      <c r="C109" s="2" t="s">
        <v>221</v>
      </c>
    </row>
    <row r="110" spans="3:3">
      <c r="C110" s="2" t="s">
        <v>222</v>
      </c>
    </row>
    <row r="111" spans="3:3">
      <c r="C111" s="2" t="s">
        <v>223</v>
      </c>
    </row>
    <row r="112" spans="3:3">
      <c r="C112" s="2" t="s">
        <v>224</v>
      </c>
    </row>
    <row r="113" spans="3:3">
      <c r="C113" s="2" t="s">
        <v>225</v>
      </c>
    </row>
    <row r="114" spans="3:3">
      <c r="C114" s="2" t="s">
        <v>226</v>
      </c>
    </row>
    <row r="115" spans="3:3">
      <c r="C115" s="2" t="s">
        <v>227</v>
      </c>
    </row>
    <row r="116" spans="3:3">
      <c r="C116" s="2" t="s">
        <v>228</v>
      </c>
    </row>
    <row r="117" spans="3:3">
      <c r="C117" s="2" t="s">
        <v>229</v>
      </c>
    </row>
    <row r="118" spans="3:3">
      <c r="C118" s="2" t="s">
        <v>230</v>
      </c>
    </row>
    <row r="119" spans="3:3">
      <c r="C119" s="2" t="s">
        <v>231</v>
      </c>
    </row>
    <row r="120" spans="3:3">
      <c r="C120" s="2" t="s">
        <v>232</v>
      </c>
    </row>
    <row r="121" spans="3:3">
      <c r="C121" s="2" t="s">
        <v>233</v>
      </c>
    </row>
    <row r="122" spans="3:3">
      <c r="C122" s="2" t="s">
        <v>234</v>
      </c>
    </row>
    <row r="123" spans="3:3">
      <c r="C123" s="2" t="s">
        <v>235</v>
      </c>
    </row>
    <row r="124" spans="3:3">
      <c r="C124" s="2" t="s">
        <v>236</v>
      </c>
    </row>
    <row r="125" spans="3:3">
      <c r="C125" s="2" t="s">
        <v>237</v>
      </c>
    </row>
    <row r="126" spans="3:3">
      <c r="C126" s="2" t="s">
        <v>238</v>
      </c>
    </row>
    <row r="127" spans="3:3">
      <c r="C127" s="2" t="s">
        <v>239</v>
      </c>
    </row>
    <row r="128" spans="3:3">
      <c r="C128" s="2" t="s">
        <v>240</v>
      </c>
    </row>
    <row r="129" spans="3:3">
      <c r="C129" s="2" t="s">
        <v>241</v>
      </c>
    </row>
    <row r="130" spans="3:3">
      <c r="C130" s="2" t="s">
        <v>242</v>
      </c>
    </row>
    <row r="131" spans="3:3">
      <c r="C131" s="2" t="s">
        <v>243</v>
      </c>
    </row>
    <row r="132" spans="3:3">
      <c r="C132" s="2" t="s">
        <v>244</v>
      </c>
    </row>
    <row r="133" spans="3:3">
      <c r="C133" s="2" t="s">
        <v>245</v>
      </c>
    </row>
    <row r="134" spans="3:3">
      <c r="C134" s="2" t="s">
        <v>246</v>
      </c>
    </row>
    <row r="135" spans="3:3">
      <c r="C135" s="2" t="s">
        <v>247</v>
      </c>
    </row>
    <row r="136" spans="3:3">
      <c r="C136" s="2" t="s">
        <v>248</v>
      </c>
    </row>
    <row r="137" spans="3:3">
      <c r="C137" s="2" t="s">
        <v>249</v>
      </c>
    </row>
    <row r="138" spans="3:3">
      <c r="C138" s="2" t="s">
        <v>250</v>
      </c>
    </row>
    <row r="139" spans="3:3">
      <c r="C139" s="2" t="s">
        <v>251</v>
      </c>
    </row>
    <row r="140" spans="3:3">
      <c r="C140" s="2" t="s">
        <v>252</v>
      </c>
    </row>
    <row r="141" spans="3:3">
      <c r="C141" s="2" t="s">
        <v>162</v>
      </c>
    </row>
    <row r="142" spans="3:3">
      <c r="C142" s="2" t="s">
        <v>253</v>
      </c>
    </row>
    <row r="143" spans="3:3">
      <c r="C143" s="2" t="s">
        <v>254</v>
      </c>
    </row>
    <row r="144" spans="3:3">
      <c r="C144" s="2" t="s">
        <v>255</v>
      </c>
    </row>
    <row r="145" spans="3:3">
      <c r="C145" s="2" t="s">
        <v>256</v>
      </c>
    </row>
    <row r="146" spans="3:3">
      <c r="C146" s="2" t="s">
        <v>257</v>
      </c>
    </row>
    <row r="147" spans="3:3">
      <c r="C147" s="2" t="s">
        <v>258</v>
      </c>
    </row>
    <row r="148" spans="3:3">
      <c r="C148" s="2" t="s">
        <v>259</v>
      </c>
    </row>
    <row r="149" spans="3:3">
      <c r="C149" s="2" t="s">
        <v>260</v>
      </c>
    </row>
    <row r="150" spans="3:3">
      <c r="C150" s="2" t="s">
        <v>261</v>
      </c>
    </row>
    <row r="151" spans="3:3">
      <c r="C151" s="2" t="s">
        <v>262</v>
      </c>
    </row>
    <row r="152" spans="3:3">
      <c r="C152" s="2" t="s">
        <v>263</v>
      </c>
    </row>
    <row r="153" spans="3:3">
      <c r="C153" s="2" t="s">
        <v>264</v>
      </c>
    </row>
    <row r="154" spans="3:3">
      <c r="C154" s="2" t="s">
        <v>265</v>
      </c>
    </row>
    <row r="155" spans="3:3">
      <c r="C155" s="2" t="s">
        <v>266</v>
      </c>
    </row>
    <row r="156" spans="3:3">
      <c r="C156" s="2" t="s">
        <v>267</v>
      </c>
    </row>
    <row r="157" spans="3:3">
      <c r="C157" s="2" t="s">
        <v>268</v>
      </c>
    </row>
    <row r="158" spans="3:3">
      <c r="C158" s="2" t="s">
        <v>269</v>
      </c>
    </row>
    <row r="159" spans="3:3">
      <c r="C159" s="2" t="s">
        <v>270</v>
      </c>
    </row>
    <row r="160" spans="3:3">
      <c r="C160" s="2" t="s">
        <v>271</v>
      </c>
    </row>
    <row r="161" spans="3:3">
      <c r="C161" s="2" t="s">
        <v>272</v>
      </c>
    </row>
    <row r="162" spans="3:3">
      <c r="C162" s="2" t="s">
        <v>273</v>
      </c>
    </row>
    <row r="163" spans="3:3">
      <c r="C163" s="2" t="s">
        <v>274</v>
      </c>
    </row>
    <row r="164" spans="3:3">
      <c r="C164" s="2" t="s">
        <v>275</v>
      </c>
    </row>
    <row r="165" spans="3:3">
      <c r="C165" s="2" t="s">
        <v>276</v>
      </c>
    </row>
    <row r="166" spans="3:3">
      <c r="C166" s="2" t="s">
        <v>277</v>
      </c>
    </row>
    <row r="167" spans="3:3">
      <c r="C167" s="2" t="s">
        <v>278</v>
      </c>
    </row>
    <row r="168" spans="3:3">
      <c r="C168" s="2" t="s">
        <v>164</v>
      </c>
    </row>
    <row r="169" spans="3:3">
      <c r="C169" s="2" t="s">
        <v>279</v>
      </c>
    </row>
    <row r="170" spans="3:3">
      <c r="C170" s="2" t="s">
        <v>280</v>
      </c>
    </row>
    <row r="171" spans="3:3">
      <c r="C171" s="2" t="s">
        <v>281</v>
      </c>
    </row>
    <row r="172" spans="3:3">
      <c r="C172" s="2" t="s">
        <v>166</v>
      </c>
    </row>
    <row r="173" spans="3:3">
      <c r="C173" s="2" t="s">
        <v>282</v>
      </c>
    </row>
    <row r="174" spans="3:3">
      <c r="C174" s="2" t="s">
        <v>283</v>
      </c>
    </row>
    <row r="175" spans="3:3">
      <c r="C175" s="2" t="s">
        <v>284</v>
      </c>
    </row>
    <row r="176" spans="3:3">
      <c r="C176" s="2" t="s">
        <v>285</v>
      </c>
    </row>
    <row r="177" spans="3:3">
      <c r="C177" s="2" t="s">
        <v>286</v>
      </c>
    </row>
    <row r="178" spans="3:3">
      <c r="C178" s="2" t="s">
        <v>287</v>
      </c>
    </row>
    <row r="179" spans="3:3">
      <c r="C179" s="2" t="s">
        <v>288</v>
      </c>
    </row>
    <row r="180" spans="3:3">
      <c r="C180" s="2" t="s">
        <v>289</v>
      </c>
    </row>
    <row r="181" spans="3:3">
      <c r="C181" s="2" t="s">
        <v>290</v>
      </c>
    </row>
    <row r="182" spans="3:3">
      <c r="C182" s="2" t="s">
        <v>147</v>
      </c>
    </row>
    <row r="183" spans="3:3">
      <c r="C183" s="2" t="s">
        <v>291</v>
      </c>
    </row>
    <row r="184" spans="3:3">
      <c r="C184" s="2" t="s">
        <v>292</v>
      </c>
    </row>
    <row r="185" spans="3:3">
      <c r="C185" s="2" t="s">
        <v>293</v>
      </c>
    </row>
    <row r="186" spans="3:3">
      <c r="C186" s="2" t="s">
        <v>294</v>
      </c>
    </row>
    <row r="187" spans="3:3">
      <c r="C187" s="2" t="s">
        <v>295</v>
      </c>
    </row>
    <row r="188" spans="3:3">
      <c r="C188" s="2" t="s">
        <v>296</v>
      </c>
    </row>
    <row r="189" spans="3:3">
      <c r="C189" s="2" t="s">
        <v>297</v>
      </c>
    </row>
    <row r="190" spans="3:3">
      <c r="C190" s="2" t="s">
        <v>298</v>
      </c>
    </row>
    <row r="191" spans="3:3">
      <c r="C191" s="2" t="s">
        <v>299</v>
      </c>
    </row>
    <row r="192" spans="3:3">
      <c r="C192" s="2" t="s">
        <v>300</v>
      </c>
    </row>
    <row r="193" spans="3:3">
      <c r="C193" s="2" t="s">
        <v>301</v>
      </c>
    </row>
    <row r="194" spans="3:3">
      <c r="C194" s="2" t="s">
        <v>302</v>
      </c>
    </row>
    <row r="195" spans="3:3">
      <c r="C195" s="2" t="s">
        <v>303</v>
      </c>
    </row>
    <row r="196" spans="3:3">
      <c r="C196" s="2" t="s">
        <v>304</v>
      </c>
    </row>
    <row r="197" spans="3:3">
      <c r="C197" s="2" t="s">
        <v>305</v>
      </c>
    </row>
    <row r="198" spans="3:3">
      <c r="C198" s="2" t="s">
        <v>306</v>
      </c>
    </row>
    <row r="199" spans="3:3">
      <c r="C199" s="2" t="s">
        <v>307</v>
      </c>
    </row>
    <row r="200" spans="3:3">
      <c r="C200" s="2" t="s">
        <v>308</v>
      </c>
    </row>
    <row r="201" spans="3:3">
      <c r="C201" s="2" t="s">
        <v>309</v>
      </c>
    </row>
    <row r="202" spans="3:3">
      <c r="C202" s="2" t="s">
        <v>309</v>
      </c>
    </row>
    <row r="203" spans="3:3">
      <c r="C203" s="2" t="s">
        <v>310</v>
      </c>
    </row>
    <row r="204" spans="3:3">
      <c r="C204" s="2" t="s">
        <v>311</v>
      </c>
    </row>
    <row r="205" spans="3:3">
      <c r="C205" s="2" t="s">
        <v>312</v>
      </c>
    </row>
    <row r="206" spans="3:3">
      <c r="C206" s="2" t="s">
        <v>313</v>
      </c>
    </row>
    <row r="207" spans="3:3">
      <c r="C207" s="2" t="s">
        <v>314</v>
      </c>
    </row>
    <row r="208" spans="3:3">
      <c r="C208" s="2" t="s">
        <v>315</v>
      </c>
    </row>
    <row r="209" spans="3:3">
      <c r="C209" s="2" t="s">
        <v>316</v>
      </c>
    </row>
    <row r="210" spans="3:3">
      <c r="C210" s="2" t="s">
        <v>317</v>
      </c>
    </row>
    <row r="211" spans="3:3">
      <c r="C211" s="2" t="s">
        <v>318</v>
      </c>
    </row>
    <row r="212" spans="3:3">
      <c r="C212" s="2" t="s">
        <v>319</v>
      </c>
    </row>
    <row r="213" spans="3:3">
      <c r="C213" s="2" t="s">
        <v>320</v>
      </c>
    </row>
    <row r="214" spans="3:3">
      <c r="C214" s="2" t="s">
        <v>321</v>
      </c>
    </row>
    <row r="215" spans="3:3">
      <c r="C215" s="2" t="s">
        <v>322</v>
      </c>
    </row>
    <row r="216" spans="3:3">
      <c r="C216" s="2" t="s">
        <v>323</v>
      </c>
    </row>
    <row r="217" spans="3:3">
      <c r="C217" s="2" t="s">
        <v>324</v>
      </c>
    </row>
    <row r="218" spans="3:3">
      <c r="C218" s="2" t="s">
        <v>325</v>
      </c>
    </row>
    <row r="219" spans="3:3">
      <c r="C219" s="2" t="s">
        <v>326</v>
      </c>
    </row>
    <row r="220" spans="3:3">
      <c r="C220" s="2" t="s">
        <v>327</v>
      </c>
    </row>
    <row r="221" spans="3:3">
      <c r="C221" s="2" t="s">
        <v>328</v>
      </c>
    </row>
    <row r="222" spans="3:3">
      <c r="C222" s="2" t="s">
        <v>329</v>
      </c>
    </row>
    <row r="223" spans="3:3">
      <c r="C223" s="2" t="s">
        <v>330</v>
      </c>
    </row>
    <row r="224" spans="3:3">
      <c r="C224" s="2" t="s">
        <v>331</v>
      </c>
    </row>
    <row r="225" spans="3:3">
      <c r="C225" s="2" t="s">
        <v>332</v>
      </c>
    </row>
    <row r="226" spans="3:3">
      <c r="C226" s="2" t="s">
        <v>333</v>
      </c>
    </row>
    <row r="227" spans="3:3">
      <c r="C227" s="2" t="s">
        <v>334</v>
      </c>
    </row>
    <row r="228" spans="3:3">
      <c r="C228" s="2" t="s">
        <v>335</v>
      </c>
    </row>
    <row r="229" spans="3:3">
      <c r="C229" s="2" t="s">
        <v>336</v>
      </c>
    </row>
    <row r="230" spans="3:3">
      <c r="C230" s="2" t="s">
        <v>337</v>
      </c>
    </row>
    <row r="231" spans="3:3">
      <c r="C231" s="2" t="s">
        <v>338</v>
      </c>
    </row>
    <row r="232" spans="3:3">
      <c r="C232" s="2" t="s">
        <v>339</v>
      </c>
    </row>
    <row r="233" spans="3:3">
      <c r="C233" s="2" t="s">
        <v>340</v>
      </c>
    </row>
    <row r="234" spans="3:3">
      <c r="C234" s="2" t="s">
        <v>341</v>
      </c>
    </row>
    <row r="235" spans="3:3">
      <c r="C235" s="2" t="s">
        <v>342</v>
      </c>
    </row>
    <row r="236" spans="3:3">
      <c r="C236" s="2" t="s">
        <v>343</v>
      </c>
    </row>
    <row r="237" spans="3:3">
      <c r="C237" s="2" t="s">
        <v>344</v>
      </c>
    </row>
    <row r="238" spans="3:3">
      <c r="C238" s="2" t="s">
        <v>345</v>
      </c>
    </row>
    <row r="239" spans="3:3">
      <c r="C239" s="2" t="s">
        <v>346</v>
      </c>
    </row>
    <row r="240" spans="3:3">
      <c r="C240" s="2" t="s">
        <v>347</v>
      </c>
    </row>
    <row r="241" spans="3:3">
      <c r="C241" s="2" t="s">
        <v>348</v>
      </c>
    </row>
    <row r="242" spans="3:3">
      <c r="C242" s="2" t="s">
        <v>349</v>
      </c>
    </row>
    <row r="243" spans="3:3">
      <c r="C243" s="2" t="s">
        <v>350</v>
      </c>
    </row>
    <row r="244" spans="3:3">
      <c r="C244" s="2" t="s">
        <v>351</v>
      </c>
    </row>
    <row r="245" spans="3:3">
      <c r="C245" s="2" t="s">
        <v>352</v>
      </c>
    </row>
    <row r="246" spans="3:3">
      <c r="C246" s="2" t="s">
        <v>353</v>
      </c>
    </row>
    <row r="247" spans="3:3">
      <c r="C247" s="2" t="s">
        <v>354</v>
      </c>
    </row>
    <row r="248" spans="3:3">
      <c r="C248" s="2" t="s">
        <v>355</v>
      </c>
    </row>
    <row r="249" spans="3:3">
      <c r="C249" s="2" t="s">
        <v>356</v>
      </c>
    </row>
    <row r="250" spans="3:3">
      <c r="C250" s="2" t="s">
        <v>357</v>
      </c>
    </row>
    <row r="251" spans="3:3">
      <c r="C251" s="2" t="s">
        <v>358</v>
      </c>
    </row>
    <row r="252" spans="3:3">
      <c r="C252" s="2" t="s">
        <v>359</v>
      </c>
    </row>
    <row r="253" spans="3:3">
      <c r="C253" s="2" t="s">
        <v>360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FF83C-CA9A-4FF4-9480-83890C33EA97}">
  <sheetPr>
    <pageSetUpPr fitToPage="1"/>
  </sheetPr>
  <dimension ref="A1:G145"/>
  <sheetViews>
    <sheetView showGridLines="0" showRuler="0" zoomScale="75" zoomScaleNormal="75" workbookViewId="0">
      <selection sqref="A1:G1"/>
    </sheetView>
  </sheetViews>
  <sheetFormatPr defaultColWidth="11" defaultRowHeight="15.75"/>
  <cols>
    <col min="1" max="1" width="35.5" style="2" customWidth="1"/>
    <col min="2" max="2" width="11.5" style="2" customWidth="1"/>
    <col min="3" max="3" width="11.375" style="2" customWidth="1"/>
    <col min="4" max="4" width="11" style="2" customWidth="1"/>
    <col min="5" max="5" width="11.875" style="2" customWidth="1"/>
    <col min="6" max="6" width="11.375" style="2" customWidth="1"/>
    <col min="7" max="7" width="10.125" style="2" customWidth="1"/>
    <col min="8" max="16384" width="11" style="2"/>
  </cols>
  <sheetData>
    <row r="1" spans="1:7" ht="18.75">
      <c r="A1" s="240" t="s">
        <v>502</v>
      </c>
      <c r="B1" s="240"/>
      <c r="C1" s="240"/>
      <c r="D1" s="240"/>
      <c r="E1" s="240"/>
      <c r="F1" s="240"/>
      <c r="G1" s="240"/>
    </row>
    <row r="2" spans="1:7" ht="6" customHeight="1"/>
    <row r="3" spans="1:7" ht="18.75">
      <c r="A3" s="55" t="s">
        <v>503</v>
      </c>
    </row>
    <row r="4" spans="1:7" s="52" customFormat="1" ht="108.95" customHeight="1">
      <c r="A4" s="255" t="s">
        <v>504</v>
      </c>
      <c r="B4" s="255"/>
      <c r="C4" s="255"/>
      <c r="D4" s="255"/>
      <c r="E4" s="255"/>
      <c r="F4" s="255"/>
      <c r="G4" s="255"/>
    </row>
    <row r="5" spans="1:7" s="52" customFormat="1">
      <c r="A5" s="241" t="s">
        <v>505</v>
      </c>
      <c r="B5" s="241"/>
      <c r="C5" s="241"/>
      <c r="D5" s="241"/>
      <c r="E5" s="241"/>
      <c r="F5" s="241"/>
      <c r="G5" s="241"/>
    </row>
    <row r="6" spans="1:7">
      <c r="A6" s="63"/>
    </row>
    <row r="7" spans="1:7">
      <c r="A7" s="1"/>
      <c r="B7" s="246" t="s">
        <v>506</v>
      </c>
      <c r="C7" s="247"/>
      <c r="D7" s="246" t="s">
        <v>507</v>
      </c>
      <c r="E7" s="247"/>
      <c r="F7" s="246" t="s">
        <v>508</v>
      </c>
      <c r="G7" s="247"/>
    </row>
    <row r="8" spans="1:7" s="61" customFormat="1" ht="47.25">
      <c r="A8" s="27"/>
      <c r="B8" s="64" t="s">
        <v>509</v>
      </c>
      <c r="C8" s="64" t="s">
        <v>510</v>
      </c>
      <c r="D8" s="64" t="s">
        <v>509</v>
      </c>
      <c r="E8" s="64" t="s">
        <v>510</v>
      </c>
      <c r="F8" s="64" t="s">
        <v>509</v>
      </c>
      <c r="G8" s="64" t="s">
        <v>510</v>
      </c>
    </row>
    <row r="9" spans="1:7">
      <c r="A9" s="65"/>
      <c r="B9" s="244" t="s">
        <v>511</v>
      </c>
      <c r="C9" s="244"/>
      <c r="D9" s="244"/>
      <c r="E9" s="244"/>
      <c r="F9" s="244"/>
      <c r="G9" s="245"/>
    </row>
    <row r="10" spans="1:7" ht="45.95" customHeight="1">
      <c r="A10" s="66" t="s">
        <v>512</v>
      </c>
      <c r="B10" s="26">
        <v>4191</v>
      </c>
      <c r="C10" s="26">
        <v>8</v>
      </c>
      <c r="D10" s="26">
        <v>4125</v>
      </c>
      <c r="E10" s="26">
        <v>1</v>
      </c>
      <c r="F10" s="26">
        <v>0</v>
      </c>
      <c r="G10" s="26">
        <v>0</v>
      </c>
    </row>
    <row r="11" spans="1:7" ht="45.95" customHeight="1">
      <c r="A11" s="66" t="s">
        <v>513</v>
      </c>
      <c r="B11" s="26">
        <v>286</v>
      </c>
      <c r="C11" s="26">
        <v>1</v>
      </c>
      <c r="D11" s="26">
        <v>315</v>
      </c>
      <c r="E11" s="26">
        <v>3</v>
      </c>
      <c r="F11" s="26">
        <v>0</v>
      </c>
      <c r="G11" s="26">
        <v>0</v>
      </c>
    </row>
    <row r="12" spans="1:7" ht="45.95" customHeight="1">
      <c r="A12" s="66" t="s">
        <v>514</v>
      </c>
      <c r="B12" s="26">
        <v>13336</v>
      </c>
      <c r="C12" s="26">
        <v>406</v>
      </c>
      <c r="D12" s="26">
        <v>11741</v>
      </c>
      <c r="E12" s="26">
        <v>210</v>
      </c>
      <c r="F12" s="26">
        <v>0</v>
      </c>
      <c r="G12" s="26">
        <v>0</v>
      </c>
    </row>
    <row r="13" spans="1:7" ht="45.95" customHeight="1">
      <c r="A13" s="67" t="s">
        <v>515</v>
      </c>
      <c r="B13" s="51">
        <f t="shared" ref="B13:G13" si="0">SUM(B10:B12)</f>
        <v>17813</v>
      </c>
      <c r="C13" s="51">
        <f t="shared" si="0"/>
        <v>415</v>
      </c>
      <c r="D13" s="51">
        <f t="shared" si="0"/>
        <v>16181</v>
      </c>
      <c r="E13" s="51">
        <f t="shared" si="0"/>
        <v>214</v>
      </c>
      <c r="F13" s="51">
        <f t="shared" si="0"/>
        <v>0</v>
      </c>
      <c r="G13" s="51">
        <f t="shared" si="0"/>
        <v>0</v>
      </c>
    </row>
    <row r="14" spans="1:7" ht="45.95" customHeight="1">
      <c r="A14" s="66" t="s">
        <v>516</v>
      </c>
      <c r="B14" s="26">
        <v>319</v>
      </c>
      <c r="C14" s="26">
        <v>263</v>
      </c>
      <c r="D14" s="26">
        <v>155</v>
      </c>
      <c r="E14" s="26">
        <v>204</v>
      </c>
      <c r="F14" s="26">
        <v>0</v>
      </c>
      <c r="G14" s="26">
        <v>0</v>
      </c>
    </row>
    <row r="15" spans="1:7" ht="39" customHeight="1">
      <c r="A15" s="67" t="s">
        <v>517</v>
      </c>
      <c r="B15" s="51">
        <f t="shared" ref="B15:G15" si="1">SUM(B13+B14)</f>
        <v>18132</v>
      </c>
      <c r="C15" s="51">
        <f t="shared" si="1"/>
        <v>678</v>
      </c>
      <c r="D15" s="51">
        <f t="shared" si="1"/>
        <v>16336</v>
      </c>
      <c r="E15" s="51">
        <f t="shared" si="1"/>
        <v>418</v>
      </c>
      <c r="F15" s="51">
        <f t="shared" si="1"/>
        <v>0</v>
      </c>
      <c r="G15" s="51">
        <f t="shared" si="1"/>
        <v>0</v>
      </c>
    </row>
    <row r="16" spans="1:7" ht="33.950000000000003" customHeight="1">
      <c r="A16" s="248" t="s">
        <v>518</v>
      </c>
      <c r="B16" s="248"/>
      <c r="C16" s="248"/>
      <c r="D16" s="248"/>
      <c r="E16" s="68">
        <f>SUM(C13+E13+G13)</f>
        <v>629</v>
      </c>
      <c r="F16" s="69"/>
      <c r="G16" s="69"/>
    </row>
    <row r="17" spans="1:7" ht="33.950000000000003" customHeight="1">
      <c r="A17" s="248" t="s">
        <v>519</v>
      </c>
      <c r="B17" s="248"/>
      <c r="C17" s="248"/>
      <c r="D17" s="248"/>
      <c r="E17" s="68">
        <f>SUM(B13+D13+F13)</f>
        <v>33994</v>
      </c>
      <c r="F17" s="69"/>
      <c r="G17" s="69"/>
    </row>
    <row r="18" spans="1:7" ht="33.950000000000003" customHeight="1">
      <c r="A18" s="248" t="s">
        <v>520</v>
      </c>
      <c r="B18" s="248"/>
      <c r="C18" s="248"/>
      <c r="D18" s="248"/>
      <c r="E18" s="68">
        <f>SUM(B13:G13)</f>
        <v>34623</v>
      </c>
      <c r="F18" s="69"/>
      <c r="G18" s="69"/>
    </row>
    <row r="19" spans="1:7" ht="33.950000000000003" customHeight="1">
      <c r="A19" s="248" t="s">
        <v>521</v>
      </c>
      <c r="B19" s="248"/>
      <c r="C19" s="248"/>
      <c r="D19" s="248"/>
      <c r="E19" s="68">
        <f>(SUM(B15:G15))</f>
        <v>35564</v>
      </c>
      <c r="F19" s="69"/>
      <c r="G19" s="69"/>
    </row>
    <row r="20" spans="1:7" ht="20.100000000000001" customHeight="1">
      <c r="A20" s="70"/>
      <c r="B20" s="69"/>
      <c r="C20" s="69"/>
      <c r="D20" s="69"/>
      <c r="E20" s="69"/>
      <c r="F20" s="69"/>
      <c r="G20" s="69"/>
    </row>
    <row r="21" spans="1:7">
      <c r="A21" s="1"/>
      <c r="B21" s="246" t="s">
        <v>506</v>
      </c>
      <c r="C21" s="247"/>
      <c r="D21" s="246" t="s">
        <v>507</v>
      </c>
      <c r="E21" s="247"/>
      <c r="F21" s="246" t="s">
        <v>508</v>
      </c>
      <c r="G21" s="247"/>
    </row>
    <row r="22" spans="1:7" ht="48.95" customHeight="1">
      <c r="A22" s="27"/>
      <c r="B22" s="64" t="s">
        <v>509</v>
      </c>
      <c r="C22" s="64" t="s">
        <v>510</v>
      </c>
      <c r="D22" s="64" t="s">
        <v>509</v>
      </c>
      <c r="E22" s="64" t="s">
        <v>510</v>
      </c>
      <c r="F22" s="64" t="s">
        <v>509</v>
      </c>
      <c r="G22" s="64" t="s">
        <v>510</v>
      </c>
    </row>
    <row r="23" spans="1:7" ht="15.95" customHeight="1">
      <c r="A23" s="71"/>
      <c r="B23" s="242" t="s">
        <v>522</v>
      </c>
      <c r="C23" s="242"/>
      <c r="D23" s="242"/>
      <c r="E23" s="242"/>
      <c r="F23" s="242"/>
      <c r="G23" s="243"/>
    </row>
    <row r="24" spans="1:7" ht="33" customHeight="1">
      <c r="A24" s="66" t="s">
        <v>523</v>
      </c>
      <c r="B24" s="26">
        <v>1955</v>
      </c>
      <c r="C24" s="26">
        <v>689</v>
      </c>
      <c r="D24" s="26">
        <v>1701</v>
      </c>
      <c r="E24" s="26">
        <v>516</v>
      </c>
      <c r="F24" s="26">
        <v>0</v>
      </c>
      <c r="G24" s="26">
        <v>0</v>
      </c>
    </row>
    <row r="25" spans="1:7" ht="33" customHeight="1">
      <c r="A25" s="66" t="s">
        <v>524</v>
      </c>
      <c r="B25" s="26">
        <v>4925</v>
      </c>
      <c r="C25" s="26">
        <v>3745</v>
      </c>
      <c r="D25" s="26">
        <v>4013</v>
      </c>
      <c r="E25" s="26">
        <v>2668</v>
      </c>
      <c r="F25" s="26">
        <v>0</v>
      </c>
      <c r="G25" s="26">
        <v>0</v>
      </c>
    </row>
    <row r="26" spans="1:7" ht="33" customHeight="1">
      <c r="A26" s="66" t="s">
        <v>525</v>
      </c>
      <c r="B26" s="26">
        <v>30</v>
      </c>
      <c r="C26" s="26">
        <v>348</v>
      </c>
      <c r="D26" s="26">
        <v>26</v>
      </c>
      <c r="E26" s="26">
        <v>383</v>
      </c>
      <c r="F26" s="26">
        <v>0</v>
      </c>
      <c r="G26" s="26">
        <v>0</v>
      </c>
    </row>
    <row r="27" spans="1:7" ht="33" customHeight="1">
      <c r="A27" s="67" t="s">
        <v>526</v>
      </c>
      <c r="B27" s="51">
        <f t="shared" ref="B27:G27" si="2">SUM(B24:B26)</f>
        <v>6910</v>
      </c>
      <c r="C27" s="51">
        <f t="shared" si="2"/>
        <v>4782</v>
      </c>
      <c r="D27" s="51">
        <f t="shared" si="2"/>
        <v>5740</v>
      </c>
      <c r="E27" s="51">
        <f t="shared" si="2"/>
        <v>3567</v>
      </c>
      <c r="F27" s="51">
        <f t="shared" si="2"/>
        <v>0</v>
      </c>
      <c r="G27" s="51">
        <f t="shared" si="2"/>
        <v>0</v>
      </c>
    </row>
    <row r="29" spans="1:7" ht="36" customHeight="1">
      <c r="A29" s="248" t="s">
        <v>527</v>
      </c>
      <c r="B29" s="248"/>
      <c r="C29" s="248"/>
      <c r="D29" s="248"/>
      <c r="E29" s="68" cm="1">
        <f t="array" ref="E29">SUM(C24:C25+E24:E25+G24:G25)</f>
        <v>7618</v>
      </c>
    </row>
    <row r="30" spans="1:7" ht="36" customHeight="1">
      <c r="A30" s="248" t="s">
        <v>528</v>
      </c>
      <c r="B30" s="248"/>
      <c r="C30" s="248"/>
      <c r="D30" s="248"/>
      <c r="E30" s="68" cm="1">
        <f t="array" ref="E30">SUM(B24:B25+D24:D25+F24:F25)</f>
        <v>12594</v>
      </c>
    </row>
    <row r="31" spans="1:7" ht="36" customHeight="1">
      <c r="A31" s="248" t="s">
        <v>529</v>
      </c>
      <c r="B31" s="248"/>
      <c r="C31" s="248"/>
      <c r="D31" s="248"/>
      <c r="E31" s="68">
        <f>SUM(B24:G25)</f>
        <v>20212</v>
      </c>
    </row>
    <row r="32" spans="1:7" ht="36" customHeight="1">
      <c r="A32" s="248" t="s">
        <v>530</v>
      </c>
      <c r="B32" s="248"/>
      <c r="C32" s="248"/>
      <c r="D32" s="248"/>
      <c r="E32" s="68">
        <f>SUM(B27:G27)</f>
        <v>20999</v>
      </c>
    </row>
    <row r="33" spans="1:7" ht="18.75">
      <c r="A33" s="55" t="s">
        <v>531</v>
      </c>
    </row>
    <row r="34" spans="1:7" ht="9.9499999999999993" customHeight="1"/>
    <row r="35" spans="1:7" ht="30.95" customHeight="1">
      <c r="A35" s="256" t="s">
        <v>532</v>
      </c>
      <c r="B35" s="256"/>
      <c r="C35" s="256"/>
      <c r="D35" s="256"/>
      <c r="E35" s="256"/>
      <c r="F35" s="256"/>
      <c r="G35" s="256"/>
    </row>
    <row r="36" spans="1:7" ht="6.95" customHeight="1">
      <c r="A36" s="253"/>
      <c r="B36" s="253"/>
      <c r="C36" s="253"/>
      <c r="D36" s="253"/>
      <c r="E36" s="253"/>
      <c r="F36" s="253"/>
      <c r="G36" s="253"/>
    </row>
    <row r="37" spans="1:7" ht="29.1" customHeight="1">
      <c r="A37" s="253" t="s">
        <v>533</v>
      </c>
      <c r="B37" s="253"/>
      <c r="C37" s="253"/>
      <c r="D37" s="253"/>
      <c r="E37" s="253"/>
      <c r="F37" s="253"/>
      <c r="G37" s="253"/>
    </row>
    <row r="38" spans="1:7" ht="30" customHeight="1">
      <c r="A38" s="259" t="s">
        <v>534</v>
      </c>
      <c r="B38" s="259"/>
      <c r="C38" s="259"/>
      <c r="D38" s="259"/>
      <c r="E38" s="259"/>
      <c r="F38" s="259"/>
      <c r="G38" s="259"/>
    </row>
    <row r="39" spans="1:7" ht="39.950000000000003" customHeight="1">
      <c r="A39" s="253" t="s">
        <v>535</v>
      </c>
      <c r="B39" s="253"/>
      <c r="C39" s="253"/>
      <c r="D39" s="253"/>
      <c r="E39" s="253"/>
      <c r="F39" s="253"/>
      <c r="G39" s="253"/>
    </row>
    <row r="40" spans="1:7" ht="63" customHeight="1">
      <c r="A40" s="253" t="s">
        <v>536</v>
      </c>
      <c r="B40" s="253"/>
      <c r="C40" s="253"/>
      <c r="D40" s="253"/>
      <c r="E40" s="253"/>
      <c r="F40" s="253"/>
      <c r="G40" s="253"/>
    </row>
    <row r="41" spans="1:7" ht="45.95" customHeight="1">
      <c r="A41" s="254" t="s">
        <v>537</v>
      </c>
      <c r="B41" s="254"/>
      <c r="C41" s="254"/>
      <c r="D41" s="254"/>
      <c r="E41" s="254"/>
      <c r="F41" s="254"/>
      <c r="G41" s="254"/>
    </row>
    <row r="42" spans="1:7" ht="63.95" customHeight="1">
      <c r="A42" s="254" t="s">
        <v>538</v>
      </c>
      <c r="B42" s="254"/>
      <c r="C42" s="254"/>
      <c r="D42" s="254"/>
      <c r="E42" s="254"/>
      <c r="F42" s="254"/>
      <c r="G42" s="254"/>
    </row>
    <row r="43" spans="1:7" ht="65.099999999999994" customHeight="1">
      <c r="B43" s="257" t="s">
        <v>539</v>
      </c>
      <c r="C43" s="258"/>
      <c r="D43" s="258" t="s">
        <v>540</v>
      </c>
      <c r="E43" s="258"/>
      <c r="F43" s="258" t="s">
        <v>541</v>
      </c>
      <c r="G43" s="258"/>
    </row>
    <row r="44" spans="1:7" ht="32.25" customHeight="1">
      <c r="A44" s="74" t="s">
        <v>542</v>
      </c>
      <c r="B44" s="75"/>
      <c r="C44" s="23">
        <v>1103</v>
      </c>
      <c r="D44" s="75"/>
      <c r="E44" s="26">
        <v>4726</v>
      </c>
      <c r="F44" s="54"/>
      <c r="G44" s="26">
        <v>5220</v>
      </c>
    </row>
    <row r="45" spans="1:7" ht="32.25" customHeight="1">
      <c r="A45" s="74" t="s">
        <v>543</v>
      </c>
      <c r="B45" s="75"/>
      <c r="C45" s="23">
        <v>1251</v>
      </c>
      <c r="D45" s="75"/>
      <c r="E45" s="26">
        <v>4805</v>
      </c>
      <c r="F45" s="54"/>
      <c r="G45" s="26">
        <v>4843</v>
      </c>
    </row>
    <row r="46" spans="1:7" ht="32.25" customHeight="1">
      <c r="A46" s="74" t="s">
        <v>544</v>
      </c>
      <c r="B46" s="75"/>
      <c r="C46" s="23">
        <v>449</v>
      </c>
      <c r="D46" s="75"/>
      <c r="E46" s="26">
        <v>1939</v>
      </c>
      <c r="F46" s="54"/>
      <c r="G46" s="26">
        <v>1955</v>
      </c>
    </row>
    <row r="47" spans="1:7" ht="32.25" customHeight="1">
      <c r="A47" s="74" t="s">
        <v>545</v>
      </c>
      <c r="B47" s="75"/>
      <c r="C47" s="23">
        <v>3037</v>
      </c>
      <c r="D47" s="75"/>
      <c r="E47" s="26">
        <v>13408</v>
      </c>
      <c r="F47" s="54"/>
      <c r="G47" s="26">
        <v>13627</v>
      </c>
    </row>
    <row r="48" spans="1:7" ht="32.25" customHeight="1">
      <c r="A48" s="74" t="s">
        <v>546</v>
      </c>
      <c r="B48" s="75"/>
      <c r="C48" s="23">
        <v>3</v>
      </c>
      <c r="D48" s="75"/>
      <c r="E48" s="26">
        <v>10</v>
      </c>
      <c r="F48" s="54"/>
      <c r="G48" s="26">
        <v>10</v>
      </c>
    </row>
    <row r="49" spans="1:7" ht="32.25" customHeight="1">
      <c r="A49" s="74" t="s">
        <v>547</v>
      </c>
      <c r="B49" s="75"/>
      <c r="C49" s="23">
        <v>2002</v>
      </c>
      <c r="D49" s="75"/>
      <c r="E49" s="26">
        <v>7952</v>
      </c>
      <c r="F49" s="54"/>
      <c r="G49" s="26">
        <v>8000</v>
      </c>
    </row>
    <row r="50" spans="1:7" ht="32.25" customHeight="1">
      <c r="A50" s="74" t="s">
        <v>548</v>
      </c>
      <c r="B50" s="75"/>
      <c r="C50" s="23">
        <v>2</v>
      </c>
      <c r="D50" s="75"/>
      <c r="E50" s="26">
        <v>12</v>
      </c>
      <c r="F50" s="54"/>
      <c r="G50" s="26">
        <v>13</v>
      </c>
    </row>
    <row r="51" spans="1:7" ht="32.25" customHeight="1">
      <c r="A51" s="74" t="s">
        <v>549</v>
      </c>
      <c r="B51" s="75"/>
      <c r="C51" s="23">
        <v>348</v>
      </c>
      <c r="D51" s="75"/>
      <c r="E51" s="26">
        <v>1343</v>
      </c>
      <c r="F51" s="54"/>
      <c r="G51" s="26">
        <v>1364</v>
      </c>
    </row>
    <row r="52" spans="1:7" ht="32.25" customHeight="1">
      <c r="A52" s="74" t="s">
        <v>550</v>
      </c>
      <c r="B52" s="75"/>
      <c r="C52" s="23">
        <v>130</v>
      </c>
      <c r="D52" s="75"/>
      <c r="E52" s="26">
        <v>428</v>
      </c>
      <c r="F52" s="54"/>
      <c r="G52" s="26">
        <v>532</v>
      </c>
    </row>
    <row r="53" spans="1:7" ht="32.25" customHeight="1">
      <c r="A53" s="70" t="s">
        <v>551</v>
      </c>
      <c r="B53" s="75"/>
      <c r="C53" s="76">
        <f>SUM(C44:C52)</f>
        <v>8325</v>
      </c>
      <c r="D53" s="75"/>
      <c r="E53" s="77">
        <f>SUM(E44:E52)</f>
        <v>34623</v>
      </c>
      <c r="F53" s="78"/>
      <c r="G53" s="77">
        <f>SUM(G44:G52)</f>
        <v>35564</v>
      </c>
    </row>
    <row r="54" spans="1:7" ht="14.1" customHeight="1">
      <c r="A54" s="70"/>
      <c r="B54" s="75"/>
      <c r="C54" s="75"/>
      <c r="D54" s="75"/>
      <c r="E54" s="78"/>
      <c r="F54" s="78"/>
      <c r="G54" s="79"/>
    </row>
    <row r="55" spans="1:7" ht="18.75">
      <c r="A55" s="55" t="s">
        <v>552</v>
      </c>
    </row>
    <row r="56" spans="1:7" ht="23.1" customHeight="1">
      <c r="A56" s="80" t="s">
        <v>553</v>
      </c>
    </row>
    <row r="57" spans="1:7" ht="12" customHeight="1">
      <c r="A57" s="81"/>
      <c r="B57" s="81"/>
      <c r="C57" s="81"/>
      <c r="D57" s="82"/>
    </row>
    <row r="58" spans="1:7" ht="24.95" customHeight="1">
      <c r="A58" s="83" t="s">
        <v>554</v>
      </c>
      <c r="B58" s="24">
        <v>0</v>
      </c>
      <c r="C58" s="84"/>
      <c r="D58" s="229" t="s">
        <v>555</v>
      </c>
      <c r="E58" s="229"/>
      <c r="F58" s="23">
        <v>0</v>
      </c>
    </row>
    <row r="59" spans="1:7" ht="24.95" customHeight="1">
      <c r="A59" s="83"/>
      <c r="B59" s="86"/>
      <c r="C59" s="84"/>
      <c r="D59" s="85"/>
      <c r="E59" s="87"/>
    </row>
    <row r="60" spans="1:7" ht="24.95" customHeight="1">
      <c r="A60" s="83" t="s">
        <v>556</v>
      </c>
      <c r="B60" s="23">
        <v>8482</v>
      </c>
      <c r="C60" s="84"/>
      <c r="D60" s="229" t="s">
        <v>557</v>
      </c>
      <c r="E60" s="229"/>
      <c r="F60" s="210">
        <v>31</v>
      </c>
    </row>
    <row r="61" spans="1:7" ht="24.95" customHeight="1">
      <c r="A61" s="83"/>
      <c r="B61" s="88"/>
      <c r="C61" s="84"/>
      <c r="D61" s="85"/>
      <c r="E61" s="85"/>
      <c r="F61" s="85"/>
    </row>
    <row r="62" spans="1:7" ht="24.95" customHeight="1">
      <c r="A62" s="83" t="s">
        <v>558</v>
      </c>
      <c r="B62" s="23">
        <v>7148</v>
      </c>
      <c r="C62" s="84"/>
      <c r="D62" s="229" t="s">
        <v>559</v>
      </c>
      <c r="E62" s="229"/>
      <c r="F62" s="210">
        <v>5</v>
      </c>
    </row>
    <row r="63" spans="1:7" ht="24.95" customHeight="1">
      <c r="A63" s="83"/>
      <c r="B63" s="86"/>
      <c r="C63" s="84"/>
      <c r="D63" s="85"/>
      <c r="E63" s="87"/>
    </row>
    <row r="64" spans="1:7" ht="24.95" customHeight="1">
      <c r="A64" s="83" t="s">
        <v>560</v>
      </c>
      <c r="B64" s="23">
        <v>818</v>
      </c>
      <c r="C64" s="230" t="s">
        <v>561</v>
      </c>
      <c r="D64" s="229"/>
      <c r="E64" s="229"/>
      <c r="F64" s="23">
        <v>319</v>
      </c>
    </row>
    <row r="65" spans="1:7" ht="24.95" customHeight="1">
      <c r="A65" s="83"/>
      <c r="B65" s="86"/>
      <c r="C65" s="86"/>
      <c r="D65" s="89"/>
    </row>
    <row r="66" spans="1:7" ht="24.95" customHeight="1">
      <c r="A66" s="83" t="s">
        <v>562</v>
      </c>
      <c r="B66" s="23">
        <v>0</v>
      </c>
      <c r="C66" s="86"/>
      <c r="D66" s="89"/>
    </row>
    <row r="68" spans="1:7" ht="18.75">
      <c r="A68" s="55" t="s">
        <v>563</v>
      </c>
    </row>
    <row r="69" spans="1:7" ht="5.0999999999999996" customHeight="1">
      <c r="A69" s="21"/>
    </row>
    <row r="70" spans="1:7" ht="15.95" customHeight="1">
      <c r="A70" s="250" t="s">
        <v>564</v>
      </c>
      <c r="B70" s="250"/>
      <c r="C70" s="250"/>
      <c r="D70" s="250"/>
      <c r="E70" s="250"/>
      <c r="F70" s="250"/>
      <c r="G70" s="250"/>
    </row>
    <row r="71" spans="1:7" ht="6.95" customHeight="1">
      <c r="A71" s="90"/>
    </row>
    <row r="72" spans="1:7" ht="36.950000000000003" customHeight="1">
      <c r="A72" s="251" t="s">
        <v>565</v>
      </c>
      <c r="B72" s="251"/>
      <c r="C72" s="251"/>
      <c r="D72" s="251"/>
      <c r="E72" s="251"/>
      <c r="F72" s="251"/>
      <c r="G72" s="251"/>
    </row>
    <row r="73" spans="1:7" ht="6.95" customHeight="1">
      <c r="A73" s="91"/>
    </row>
    <row r="74" spans="1:7" ht="36.950000000000003" customHeight="1">
      <c r="A74" s="252" t="s">
        <v>566</v>
      </c>
      <c r="B74" s="252"/>
      <c r="C74" s="252"/>
      <c r="D74" s="252"/>
      <c r="E74" s="252"/>
      <c r="F74" s="252"/>
      <c r="G74" s="252"/>
    </row>
    <row r="75" spans="1:7" ht="114.95" customHeight="1">
      <c r="A75" s="250" t="s">
        <v>567</v>
      </c>
      <c r="B75" s="250"/>
      <c r="C75" s="250"/>
      <c r="D75" s="250"/>
      <c r="E75" s="250"/>
      <c r="F75" s="250"/>
      <c r="G75" s="250"/>
    </row>
    <row r="76" spans="1:7" s="53" customFormat="1" ht="14.1" customHeight="1">
      <c r="A76" s="249"/>
      <c r="B76" s="249"/>
      <c r="C76" s="249"/>
      <c r="D76" s="249"/>
      <c r="E76" s="249"/>
      <c r="F76" s="249"/>
      <c r="G76" s="249"/>
    </row>
    <row r="77" spans="1:7">
      <c r="A77" s="235" t="s">
        <v>568</v>
      </c>
      <c r="B77" s="235"/>
      <c r="C77" s="235"/>
      <c r="D77" s="237" t="s">
        <v>569</v>
      </c>
      <c r="E77" s="237"/>
      <c r="F77" s="237"/>
      <c r="G77" s="237"/>
    </row>
    <row r="78" spans="1:7" ht="132" customHeight="1">
      <c r="A78" s="236"/>
      <c r="B78" s="236"/>
      <c r="C78" s="236"/>
      <c r="D78" s="64" t="s">
        <v>570</v>
      </c>
      <c r="E78" s="64" t="s">
        <v>571</v>
      </c>
      <c r="F78" s="64" t="s">
        <v>572</v>
      </c>
      <c r="G78" s="92" t="s">
        <v>551</v>
      </c>
    </row>
    <row r="79" spans="1:7" ht="60" customHeight="1">
      <c r="A79" s="238" t="s">
        <v>573</v>
      </c>
      <c r="B79" s="238"/>
      <c r="C79" s="238"/>
      <c r="D79" s="26">
        <v>1849</v>
      </c>
      <c r="E79" s="26">
        <v>1125</v>
      </c>
      <c r="F79" s="26">
        <v>4529</v>
      </c>
      <c r="G79" s="94">
        <f t="shared" ref="G79:G84" si="3">SUM(D79:F79)</f>
        <v>7503</v>
      </c>
    </row>
    <row r="80" spans="1:7" ht="138" customHeight="1">
      <c r="A80" s="233" t="s">
        <v>574</v>
      </c>
      <c r="B80" s="233"/>
      <c r="C80" s="233"/>
      <c r="D80" s="26">
        <v>3</v>
      </c>
      <c r="E80" s="26">
        <v>0</v>
      </c>
      <c r="F80" s="26">
        <v>2</v>
      </c>
      <c r="G80" s="94">
        <f t="shared" si="3"/>
        <v>5</v>
      </c>
    </row>
    <row r="81" spans="1:7" ht="63.95" customHeight="1">
      <c r="A81" s="238" t="s">
        <v>575</v>
      </c>
      <c r="B81" s="238"/>
      <c r="C81" s="238"/>
      <c r="D81" s="94">
        <f>D79-D80</f>
        <v>1846</v>
      </c>
      <c r="E81" s="94">
        <f>E79-E80</f>
        <v>1125</v>
      </c>
      <c r="F81" s="94">
        <f>F79-F80</f>
        <v>4527</v>
      </c>
      <c r="G81" s="94">
        <f t="shared" si="3"/>
        <v>7498</v>
      </c>
    </row>
    <row r="82" spans="1:7" ht="63.95" customHeight="1">
      <c r="A82" s="238" t="s">
        <v>576</v>
      </c>
      <c r="B82" s="238"/>
      <c r="C82" s="238"/>
      <c r="D82" s="26">
        <v>1171</v>
      </c>
      <c r="E82" s="26">
        <v>847</v>
      </c>
      <c r="F82" s="26">
        <v>3492</v>
      </c>
      <c r="G82" s="94">
        <f t="shared" si="3"/>
        <v>5510</v>
      </c>
    </row>
    <row r="83" spans="1:7" ht="63.95" customHeight="1">
      <c r="A83" s="238" t="s">
        <v>577</v>
      </c>
      <c r="B83" s="238"/>
      <c r="C83" s="238"/>
      <c r="D83" s="26">
        <v>204</v>
      </c>
      <c r="E83" s="26">
        <v>95</v>
      </c>
      <c r="F83" s="26">
        <v>427</v>
      </c>
      <c r="G83" s="94">
        <f t="shared" si="3"/>
        <v>726</v>
      </c>
    </row>
    <row r="84" spans="1:7" ht="63.95" customHeight="1">
      <c r="A84" s="238">
        <v>411416</v>
      </c>
      <c r="B84" s="238"/>
      <c r="C84" s="238"/>
      <c r="D84" s="26">
        <v>41</v>
      </c>
      <c r="E84" s="26">
        <v>13</v>
      </c>
      <c r="F84" s="26">
        <v>75</v>
      </c>
      <c r="G84" s="94">
        <f t="shared" si="3"/>
        <v>129</v>
      </c>
    </row>
    <row r="85" spans="1:7" ht="36" customHeight="1">
      <c r="A85" s="239" t="s">
        <v>578</v>
      </c>
      <c r="B85" s="239"/>
      <c r="C85" s="239"/>
      <c r="D85" s="94">
        <f>SUM(D82:D84)</f>
        <v>1416</v>
      </c>
      <c r="E85" s="94">
        <f>SUM(E82:E84)</f>
        <v>955</v>
      </c>
      <c r="F85" s="94">
        <f>SUM(F82:F84)</f>
        <v>3994</v>
      </c>
      <c r="G85" s="94">
        <f>SUM(G82:G84)</f>
        <v>6365</v>
      </c>
    </row>
    <row r="86" spans="1:7" ht="57.6" customHeight="1">
      <c r="A86" s="239" t="s">
        <v>579</v>
      </c>
      <c r="B86" s="239"/>
      <c r="C86" s="239"/>
      <c r="D86" s="95">
        <f>D85/D81</f>
        <v>0.76706392199349949</v>
      </c>
      <c r="E86" s="95">
        <f>E85/E81</f>
        <v>0.84888888888888892</v>
      </c>
      <c r="F86" s="95">
        <f>F85/F81</f>
        <v>0.88226198365363373</v>
      </c>
      <c r="G86" s="95">
        <f>G85/G81</f>
        <v>0.84889303814350492</v>
      </c>
    </row>
    <row r="87" spans="1:7" ht="12.95" customHeight="1">
      <c r="A87" s="96"/>
      <c r="B87" s="96"/>
      <c r="C87" s="96"/>
      <c r="D87" s="97"/>
      <c r="E87" s="97"/>
      <c r="F87" s="97"/>
      <c r="G87" s="97"/>
    </row>
    <row r="88" spans="1:7" ht="15.95" customHeight="1">
      <c r="A88" s="235" t="s">
        <v>568</v>
      </c>
      <c r="B88" s="235"/>
      <c r="C88" s="235"/>
      <c r="D88" s="237" t="s">
        <v>580</v>
      </c>
      <c r="E88" s="237"/>
      <c r="F88" s="237"/>
      <c r="G88" s="237"/>
    </row>
    <row r="89" spans="1:7" ht="126" customHeight="1">
      <c r="A89" s="236"/>
      <c r="B89" s="236"/>
      <c r="C89" s="236"/>
      <c r="D89" s="64" t="s">
        <v>570</v>
      </c>
      <c r="E89" s="64" t="s">
        <v>571</v>
      </c>
      <c r="F89" s="64" t="s">
        <v>572</v>
      </c>
      <c r="G89" s="92" t="s">
        <v>551</v>
      </c>
    </row>
    <row r="90" spans="1:7" ht="48.95" customHeight="1">
      <c r="A90" s="233" t="s">
        <v>581</v>
      </c>
      <c r="B90" s="233"/>
      <c r="C90" s="233"/>
      <c r="D90" s="26">
        <v>1791</v>
      </c>
      <c r="E90" s="26">
        <v>1211</v>
      </c>
      <c r="F90" s="26">
        <v>4579</v>
      </c>
      <c r="G90" s="94">
        <f t="shared" ref="G90:G95" si="4">SUM(D90:F90)</f>
        <v>7581</v>
      </c>
    </row>
    <row r="91" spans="1:7" ht="81" customHeight="1">
      <c r="A91" s="233" t="s">
        <v>582</v>
      </c>
      <c r="B91" s="233"/>
      <c r="C91" s="233"/>
      <c r="D91" s="26">
        <v>5</v>
      </c>
      <c r="E91" s="26">
        <v>0</v>
      </c>
      <c r="F91" s="26">
        <v>4</v>
      </c>
      <c r="G91" s="94">
        <f t="shared" si="4"/>
        <v>9</v>
      </c>
    </row>
    <row r="92" spans="1:7" ht="27" customHeight="1">
      <c r="A92" s="233" t="s">
        <v>583</v>
      </c>
      <c r="B92" s="233"/>
      <c r="C92" s="233"/>
      <c r="D92" s="94">
        <f>D90-D91</f>
        <v>1786</v>
      </c>
      <c r="E92" s="94">
        <f>E90-E91</f>
        <v>1211</v>
      </c>
      <c r="F92" s="94">
        <f>F90-F91</f>
        <v>4575</v>
      </c>
      <c r="G92" s="94">
        <f t="shared" si="4"/>
        <v>7572</v>
      </c>
    </row>
    <row r="93" spans="1:7" ht="44.1" customHeight="1">
      <c r="A93" s="233" t="s">
        <v>584</v>
      </c>
      <c r="B93" s="233"/>
      <c r="C93" s="233"/>
      <c r="D93" s="26">
        <v>1105</v>
      </c>
      <c r="E93" s="26">
        <v>893</v>
      </c>
      <c r="F93" s="26">
        <v>3459</v>
      </c>
      <c r="G93" s="94">
        <f t="shared" si="4"/>
        <v>5457</v>
      </c>
    </row>
    <row r="94" spans="1:7" ht="54.95" customHeight="1">
      <c r="A94" s="233" t="s">
        <v>585</v>
      </c>
      <c r="B94" s="233"/>
      <c r="C94" s="233"/>
      <c r="D94" s="26">
        <v>237</v>
      </c>
      <c r="E94" s="26">
        <v>120</v>
      </c>
      <c r="F94" s="26">
        <v>482</v>
      </c>
      <c r="G94" s="94">
        <f t="shared" si="4"/>
        <v>839</v>
      </c>
    </row>
    <row r="95" spans="1:7" ht="54.95" customHeight="1">
      <c r="A95" s="233" t="s">
        <v>586</v>
      </c>
      <c r="B95" s="233"/>
      <c r="C95" s="233"/>
      <c r="D95" s="26">
        <v>26</v>
      </c>
      <c r="E95" s="26">
        <v>16</v>
      </c>
      <c r="F95" s="26">
        <v>75</v>
      </c>
      <c r="G95" s="94">
        <f t="shared" si="4"/>
        <v>117</v>
      </c>
    </row>
    <row r="96" spans="1:7" ht="36.950000000000003" customHeight="1">
      <c r="A96" s="234" t="s">
        <v>578</v>
      </c>
      <c r="B96" s="234"/>
      <c r="C96" s="234"/>
      <c r="D96" s="94">
        <f>SUM(D93:D95)</f>
        <v>1368</v>
      </c>
      <c r="E96" s="94">
        <f>SUM(E93:E95)</f>
        <v>1029</v>
      </c>
      <c r="F96" s="94">
        <f>SUM(F93:F95)</f>
        <v>4016</v>
      </c>
      <c r="G96" s="94">
        <f>SUM(G93:G95)</f>
        <v>6413</v>
      </c>
    </row>
    <row r="97" spans="1:7" ht="39" customHeight="1">
      <c r="A97" s="234" t="s">
        <v>587</v>
      </c>
      <c r="B97" s="234"/>
      <c r="C97" s="234"/>
      <c r="D97" s="95">
        <f>D96/D92</f>
        <v>0.76595744680851063</v>
      </c>
      <c r="E97" s="95">
        <f>E96/E92</f>
        <v>0.8497109826589595</v>
      </c>
      <c r="F97" s="95">
        <f>F96/F92</f>
        <v>0.87781420765027318</v>
      </c>
      <c r="G97" s="95">
        <f>G96/G92</f>
        <v>0.84693608029582668</v>
      </c>
    </row>
    <row r="98" spans="1:7" ht="6" customHeight="1">
      <c r="A98" s="96"/>
      <c r="B98" s="96"/>
      <c r="C98" s="96"/>
      <c r="D98" s="97"/>
      <c r="E98" s="97"/>
      <c r="F98" s="97"/>
      <c r="G98" s="97"/>
    </row>
    <row r="99" spans="1:7">
      <c r="A99" s="232" t="s">
        <v>588</v>
      </c>
      <c r="B99" s="232"/>
      <c r="C99" s="232"/>
      <c r="D99" s="232"/>
      <c r="E99" s="232"/>
      <c r="F99" s="97"/>
      <c r="G99" s="97"/>
    </row>
    <row r="100" spans="1:7" ht="8.1" customHeight="1"/>
    <row r="101" spans="1:7" ht="36.950000000000003" customHeight="1">
      <c r="A101" s="231" t="s">
        <v>589</v>
      </c>
      <c r="B101" s="231"/>
      <c r="C101" s="231"/>
      <c r="D101" s="98" t="s">
        <v>0</v>
      </c>
      <c r="E101" s="98" t="s">
        <v>1</v>
      </c>
    </row>
    <row r="102" spans="1:7" ht="41.85" customHeight="1">
      <c r="A102" s="227" t="s">
        <v>590</v>
      </c>
      <c r="B102" s="225"/>
      <c r="C102" s="226"/>
      <c r="D102" s="210"/>
      <c r="E102" s="210"/>
    </row>
    <row r="103" spans="1:7" ht="84" customHeight="1">
      <c r="A103" s="225" t="s">
        <v>1363</v>
      </c>
      <c r="B103" s="225"/>
      <c r="C103" s="226"/>
      <c r="D103" s="210"/>
      <c r="E103" s="210"/>
    </row>
    <row r="104" spans="1:7" ht="41.85" customHeight="1">
      <c r="A104" s="225" t="s">
        <v>591</v>
      </c>
      <c r="B104" s="225"/>
      <c r="C104" s="226"/>
      <c r="D104" s="211">
        <f>D102-D103</f>
        <v>0</v>
      </c>
      <c r="E104" s="211">
        <f>E102-E103</f>
        <v>0</v>
      </c>
    </row>
    <row r="105" spans="1:7" ht="41.85" customHeight="1">
      <c r="A105" s="225" t="s">
        <v>592</v>
      </c>
      <c r="B105" s="225"/>
      <c r="C105" s="226"/>
      <c r="D105" s="210"/>
      <c r="E105" s="210"/>
    </row>
    <row r="106" spans="1:7" ht="41.85" customHeight="1">
      <c r="A106" s="227" t="s">
        <v>593</v>
      </c>
      <c r="B106" s="227"/>
      <c r="C106" s="228"/>
      <c r="D106" s="210"/>
      <c r="E106" s="210"/>
    </row>
    <row r="107" spans="1:7" ht="41.85" customHeight="1">
      <c r="A107" s="227" t="s">
        <v>594</v>
      </c>
      <c r="B107" s="227"/>
      <c r="C107" s="228"/>
      <c r="D107" s="210"/>
      <c r="E107" s="210"/>
    </row>
    <row r="108" spans="1:7" ht="41.85" customHeight="1">
      <c r="A108" s="227" t="s">
        <v>595</v>
      </c>
      <c r="B108" s="227"/>
      <c r="C108" s="228"/>
      <c r="D108" s="210"/>
      <c r="E108" s="210"/>
    </row>
    <row r="109" spans="1:7" ht="41.85" customHeight="1">
      <c r="A109" s="227" t="s">
        <v>596</v>
      </c>
      <c r="B109" s="227"/>
      <c r="C109" s="228"/>
      <c r="D109" s="210"/>
      <c r="E109" s="210"/>
    </row>
    <row r="110" spans="1:7" ht="41.85" customHeight="1">
      <c r="A110" s="227" t="s">
        <v>597</v>
      </c>
      <c r="B110" s="227"/>
      <c r="C110" s="228"/>
      <c r="D110" s="210"/>
      <c r="E110" s="210"/>
    </row>
    <row r="111" spans="1:7" ht="41.85" customHeight="1">
      <c r="A111" s="227" t="s">
        <v>598</v>
      </c>
      <c r="B111" s="227"/>
      <c r="C111" s="228"/>
      <c r="D111" s="210"/>
      <c r="E111" s="210"/>
    </row>
    <row r="113" spans="1:7" ht="18.75">
      <c r="A113" s="55" t="s">
        <v>599</v>
      </c>
    </row>
    <row r="115" spans="1:7" ht="15.95" customHeight="1">
      <c r="A115" s="216" t="s">
        <v>600</v>
      </c>
      <c r="B115" s="216"/>
      <c r="C115" s="216"/>
      <c r="D115" s="216"/>
      <c r="E115" s="216"/>
      <c r="F115" s="216"/>
      <c r="G115" s="216"/>
    </row>
    <row r="116" spans="1:7">
      <c r="A116" s="216"/>
      <c r="B116" s="216"/>
      <c r="C116" s="216"/>
      <c r="D116" s="216"/>
      <c r="E116" s="216"/>
      <c r="F116" s="216"/>
      <c r="G116" s="216"/>
    </row>
    <row r="117" spans="1:7">
      <c r="A117" s="216"/>
      <c r="B117" s="216"/>
      <c r="C117" s="216"/>
      <c r="D117" s="216"/>
      <c r="E117" s="216"/>
      <c r="F117" s="216"/>
      <c r="G117" s="216"/>
    </row>
    <row r="118" spans="1:7">
      <c r="A118" s="216"/>
      <c r="B118" s="216"/>
      <c r="C118" s="216"/>
      <c r="D118" s="216"/>
      <c r="E118" s="216"/>
      <c r="F118" s="216"/>
      <c r="G118" s="216"/>
    </row>
    <row r="119" spans="1:7">
      <c r="A119" s="216"/>
      <c r="B119" s="216"/>
      <c r="C119" s="216"/>
      <c r="D119" s="216"/>
      <c r="E119" s="216"/>
      <c r="F119" s="216"/>
      <c r="G119" s="216"/>
    </row>
    <row r="120" spans="1:7">
      <c r="A120" s="216"/>
      <c r="B120" s="216"/>
      <c r="C120" s="216"/>
      <c r="D120" s="216"/>
      <c r="E120" s="216"/>
      <c r="F120" s="216"/>
      <c r="G120" s="216"/>
    </row>
    <row r="121" spans="1:7">
      <c r="A121" s="216"/>
      <c r="B121" s="216"/>
      <c r="C121" s="216"/>
      <c r="D121" s="216"/>
      <c r="E121" s="216"/>
      <c r="F121" s="216"/>
      <c r="G121" s="216"/>
    </row>
    <row r="122" spans="1:7">
      <c r="A122" s="216"/>
      <c r="B122" s="216"/>
      <c r="C122" s="216"/>
      <c r="D122" s="216"/>
      <c r="E122" s="216"/>
      <c r="F122" s="216"/>
      <c r="G122" s="216"/>
    </row>
    <row r="123" spans="1:7">
      <c r="A123" s="216"/>
      <c r="B123" s="216"/>
      <c r="C123" s="216"/>
      <c r="D123" s="216"/>
      <c r="E123" s="216"/>
      <c r="F123" s="216"/>
      <c r="G123" s="216"/>
    </row>
    <row r="124" spans="1:7">
      <c r="A124" s="216"/>
      <c r="B124" s="216"/>
      <c r="C124" s="216"/>
      <c r="D124" s="216"/>
      <c r="E124" s="216"/>
      <c r="F124" s="216"/>
      <c r="G124" s="216"/>
    </row>
    <row r="125" spans="1:7">
      <c r="A125" s="216"/>
      <c r="B125" s="216"/>
      <c r="C125" s="216"/>
      <c r="D125" s="216"/>
      <c r="E125" s="216"/>
      <c r="F125" s="216"/>
      <c r="G125" s="216"/>
    </row>
    <row r="126" spans="1:7">
      <c r="A126" s="216"/>
      <c r="B126" s="216"/>
      <c r="C126" s="216"/>
      <c r="D126" s="216"/>
      <c r="E126" s="216"/>
      <c r="F126" s="216"/>
      <c r="G126" s="216"/>
    </row>
    <row r="127" spans="1:7">
      <c r="A127" s="216"/>
      <c r="B127" s="216"/>
      <c r="C127" s="216"/>
      <c r="D127" s="216"/>
      <c r="E127" s="216"/>
      <c r="F127" s="216"/>
      <c r="G127" s="216"/>
    </row>
    <row r="128" spans="1:7">
      <c r="A128" s="216"/>
      <c r="B128" s="216"/>
      <c r="C128" s="216"/>
      <c r="D128" s="216"/>
      <c r="E128" s="216"/>
      <c r="F128" s="216"/>
      <c r="G128" s="216"/>
    </row>
    <row r="129" spans="1:7">
      <c r="A129" s="216"/>
      <c r="B129" s="216"/>
      <c r="C129" s="216"/>
      <c r="D129" s="216"/>
      <c r="E129" s="216"/>
      <c r="F129" s="216"/>
      <c r="G129" s="216"/>
    </row>
    <row r="130" spans="1:7">
      <c r="A130" s="216"/>
      <c r="B130" s="216"/>
      <c r="C130" s="216"/>
      <c r="D130" s="216"/>
      <c r="E130" s="216"/>
      <c r="F130" s="216"/>
      <c r="G130" s="216"/>
    </row>
    <row r="131" spans="1:7">
      <c r="A131" s="216"/>
      <c r="B131" s="216"/>
      <c r="C131" s="216"/>
      <c r="D131" s="216"/>
      <c r="E131" s="216"/>
      <c r="F131" s="216"/>
      <c r="G131" s="216"/>
    </row>
    <row r="132" spans="1:7">
      <c r="A132" s="216"/>
      <c r="B132" s="216"/>
      <c r="C132" s="216"/>
      <c r="D132" s="216"/>
      <c r="E132" s="216"/>
      <c r="F132" s="216"/>
      <c r="G132" s="216"/>
    </row>
    <row r="133" spans="1:7">
      <c r="A133" s="216"/>
      <c r="B133" s="216"/>
      <c r="C133" s="216"/>
      <c r="D133" s="216"/>
      <c r="E133" s="216"/>
      <c r="F133" s="216"/>
      <c r="G133" s="216"/>
    </row>
    <row r="134" spans="1:7">
      <c r="A134" s="216"/>
      <c r="B134" s="216"/>
      <c r="C134" s="216"/>
      <c r="D134" s="216"/>
      <c r="E134" s="216"/>
      <c r="F134" s="216"/>
      <c r="G134" s="216"/>
    </row>
    <row r="135" spans="1:7">
      <c r="A135" s="216"/>
      <c r="B135" s="216"/>
      <c r="C135" s="216"/>
      <c r="D135" s="216"/>
      <c r="E135" s="216"/>
      <c r="F135" s="216"/>
      <c r="G135" s="216"/>
    </row>
    <row r="136" spans="1:7">
      <c r="A136" s="216"/>
      <c r="B136" s="216"/>
      <c r="C136" s="216"/>
      <c r="D136" s="216"/>
      <c r="E136" s="216"/>
      <c r="F136" s="216"/>
      <c r="G136" s="216"/>
    </row>
    <row r="137" spans="1:7">
      <c r="A137" s="216"/>
      <c r="B137" s="216"/>
      <c r="C137" s="216"/>
      <c r="D137" s="216"/>
      <c r="E137" s="216"/>
      <c r="F137" s="216"/>
      <c r="G137" s="216"/>
    </row>
    <row r="138" spans="1:7">
      <c r="A138" s="216"/>
      <c r="B138" s="216"/>
      <c r="C138" s="216"/>
      <c r="D138" s="216"/>
      <c r="E138" s="216"/>
      <c r="F138" s="216"/>
      <c r="G138" s="216"/>
    </row>
    <row r="139" spans="1:7">
      <c r="A139" s="216"/>
      <c r="B139" s="216"/>
      <c r="C139" s="216"/>
      <c r="D139" s="216"/>
      <c r="E139" s="216"/>
      <c r="F139" s="216"/>
      <c r="G139" s="216"/>
    </row>
    <row r="140" spans="1:7">
      <c r="A140" s="216"/>
      <c r="B140" s="216"/>
      <c r="C140" s="216"/>
      <c r="D140" s="216"/>
      <c r="E140" s="216"/>
      <c r="F140" s="216"/>
      <c r="G140" s="216"/>
    </row>
    <row r="142" spans="1:7">
      <c r="A142" s="99" t="s">
        <v>601</v>
      </c>
      <c r="B142" s="29">
        <v>0.94</v>
      </c>
    </row>
    <row r="145" spans="1:7" ht="18.75">
      <c r="A145" s="215" t="s">
        <v>602</v>
      </c>
      <c r="B145" s="215"/>
      <c r="C145" s="215"/>
      <c r="D145" s="215"/>
      <c r="E145" s="215"/>
      <c r="F145" s="215"/>
      <c r="G145" s="215"/>
    </row>
  </sheetData>
  <sheetProtection formatColumns="0" formatRows="0" selectLockedCells="1"/>
  <mergeCells count="73">
    <mergeCell ref="B43:C43"/>
    <mergeCell ref="D43:E43"/>
    <mergeCell ref="F43:G43"/>
    <mergeCell ref="A41:G41"/>
    <mergeCell ref="A37:G37"/>
    <mergeCell ref="A38:G38"/>
    <mergeCell ref="A39:G39"/>
    <mergeCell ref="A40:G40"/>
    <mergeCell ref="A36:G36"/>
    <mergeCell ref="A42:G42"/>
    <mergeCell ref="A4:G4"/>
    <mergeCell ref="A29:D29"/>
    <mergeCell ref="A30:D30"/>
    <mergeCell ref="A31:D31"/>
    <mergeCell ref="A32:D32"/>
    <mergeCell ref="A35:G35"/>
    <mergeCell ref="D7:E7"/>
    <mergeCell ref="F7:G7"/>
    <mergeCell ref="B21:C21"/>
    <mergeCell ref="D21:E21"/>
    <mergeCell ref="F21:G21"/>
    <mergeCell ref="A16:D16"/>
    <mergeCell ref="A17:D17"/>
    <mergeCell ref="A18:D18"/>
    <mergeCell ref="A76:G76"/>
    <mergeCell ref="A70:G70"/>
    <mergeCell ref="A72:G72"/>
    <mergeCell ref="A74:G74"/>
    <mergeCell ref="A75:G75"/>
    <mergeCell ref="A1:G1"/>
    <mergeCell ref="A5:G5"/>
    <mergeCell ref="B23:G23"/>
    <mergeCell ref="B9:G9"/>
    <mergeCell ref="B7:C7"/>
    <mergeCell ref="A19:D19"/>
    <mergeCell ref="D77:G77"/>
    <mergeCell ref="A83:C83"/>
    <mergeCell ref="A84:C84"/>
    <mergeCell ref="A88:C89"/>
    <mergeCell ref="A85:C85"/>
    <mergeCell ref="A86:C86"/>
    <mergeCell ref="A79:C79"/>
    <mergeCell ref="A80:C80"/>
    <mergeCell ref="A81:C81"/>
    <mergeCell ref="A82:C82"/>
    <mergeCell ref="A94:C94"/>
    <mergeCell ref="D88:G88"/>
    <mergeCell ref="A90:C90"/>
    <mergeCell ref="A91:C91"/>
    <mergeCell ref="A92:C92"/>
    <mergeCell ref="A93:C93"/>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77:C78"/>
  </mergeCells>
  <hyperlinks>
    <hyperlink ref="B5:G5" r:id="rId1" display=" For more information on how to report study abroad students, please see NCES.GOV documentation." xr:uid="{4C9862CD-C52B-4CF4-936B-ED2E2D3F7067}"/>
    <hyperlink ref="A72" r:id="rId2" display="https://nces.ed.gov/ipeds/use-the-data/survey-components/9/graduation-rates" xr:uid="{69B66737-0D8F-491F-B436-A8E50A30C6A6}"/>
  </hyperlinks>
  <pageMargins left="0.7" right="0.7" top="0.75" bottom="0.75" header="0.3" footer="0.3"/>
  <pageSetup scale="10"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79DF-9AB2-4F5E-92A7-AB758C6C3078}">
  <sheetPr>
    <pageSetUpPr fitToPage="1"/>
  </sheetPr>
  <dimension ref="A1:P365"/>
  <sheetViews>
    <sheetView showGridLines="0" showRuler="0" zoomScaleNormal="100" workbookViewId="0">
      <selection sqref="A1:E1"/>
    </sheetView>
  </sheetViews>
  <sheetFormatPr defaultColWidth="11" defaultRowHeight="15.75"/>
  <cols>
    <col min="1" max="1" width="61.5" style="2" customWidth="1"/>
    <col min="2" max="5" width="13" style="2" customWidth="1"/>
    <col min="6" max="14" width="10.875" style="2" customWidth="1"/>
    <col min="15" max="16384" width="11" style="2"/>
  </cols>
  <sheetData>
    <row r="1" spans="1:16" ht="18">
      <c r="A1" s="223" t="s">
        <v>603</v>
      </c>
      <c r="B1" s="223"/>
      <c r="C1" s="223"/>
      <c r="D1" s="223"/>
      <c r="E1" s="223"/>
      <c r="O1" s="100"/>
      <c r="P1" s="100"/>
    </row>
    <row r="2" spans="1:16" ht="18">
      <c r="A2" s="22" t="s">
        <v>604</v>
      </c>
      <c r="O2" s="100"/>
      <c r="P2" s="100"/>
    </row>
    <row r="3" spans="1:16" ht="275.10000000000002" customHeight="1">
      <c r="A3" s="250" t="s">
        <v>605</v>
      </c>
      <c r="B3" s="250"/>
      <c r="C3" s="250"/>
      <c r="D3" s="250"/>
      <c r="E3" s="250"/>
      <c r="O3" s="100"/>
      <c r="P3" s="100"/>
    </row>
    <row r="4" spans="1:16">
      <c r="A4" s="101"/>
      <c r="B4" s="102"/>
      <c r="C4" s="54"/>
      <c r="D4" s="54"/>
      <c r="O4" s="100"/>
      <c r="P4" s="100"/>
    </row>
    <row r="5" spans="1:16" ht="33.950000000000003" customHeight="1">
      <c r="A5" s="103"/>
      <c r="B5" s="104" t="s">
        <v>506</v>
      </c>
      <c r="C5" s="73" t="s">
        <v>507</v>
      </c>
      <c r="D5" s="73" t="s">
        <v>508</v>
      </c>
      <c r="O5" s="100"/>
      <c r="P5" s="100"/>
    </row>
    <row r="6" spans="1:16">
      <c r="A6" s="105" t="s">
        <v>606</v>
      </c>
      <c r="B6" s="26">
        <v>38395</v>
      </c>
      <c r="C6" s="26" t="s">
        <v>1389</v>
      </c>
      <c r="D6" s="26">
        <v>14</v>
      </c>
      <c r="O6" s="100"/>
      <c r="P6" s="100"/>
    </row>
    <row r="7" spans="1:16">
      <c r="A7" s="105"/>
      <c r="B7" s="106"/>
      <c r="C7" s="78"/>
      <c r="D7" s="78"/>
      <c r="O7" s="100"/>
      <c r="P7" s="100"/>
    </row>
    <row r="8" spans="1:16">
      <c r="A8" s="105" t="s">
        <v>607</v>
      </c>
      <c r="B8" s="26">
        <v>14192</v>
      </c>
      <c r="C8" s="26">
        <v>15248</v>
      </c>
      <c r="D8" s="26">
        <v>6</v>
      </c>
      <c r="O8" s="100"/>
      <c r="P8" s="100"/>
    </row>
    <row r="9" spans="1:16">
      <c r="A9" s="105"/>
      <c r="B9" s="106"/>
      <c r="C9" s="78"/>
      <c r="D9" s="78"/>
      <c r="O9" s="100"/>
      <c r="P9" s="100"/>
    </row>
    <row r="10" spans="1:16">
      <c r="A10" s="105" t="s">
        <v>608</v>
      </c>
      <c r="B10" s="26">
        <v>4198</v>
      </c>
      <c r="C10" s="26">
        <v>4126</v>
      </c>
      <c r="D10" s="26">
        <v>1</v>
      </c>
      <c r="O10" s="100"/>
      <c r="P10" s="100"/>
    </row>
    <row r="11" spans="1:16">
      <c r="A11" s="105"/>
      <c r="B11" s="106"/>
      <c r="C11" s="78"/>
      <c r="D11" s="78"/>
      <c r="O11" s="100"/>
      <c r="P11" s="100"/>
    </row>
    <row r="12" spans="1:16">
      <c r="A12" s="107" t="s">
        <v>609</v>
      </c>
      <c r="B12" s="26">
        <v>4198</v>
      </c>
      <c r="C12" s="26">
        <v>4126</v>
      </c>
      <c r="D12" s="26">
        <v>1</v>
      </c>
      <c r="O12" s="100"/>
      <c r="P12" s="100"/>
    </row>
    <row r="13" spans="1:16">
      <c r="A13" s="105"/>
      <c r="B13" s="106"/>
      <c r="C13" s="78"/>
      <c r="D13" s="78"/>
      <c r="O13" s="100"/>
      <c r="P13" s="100"/>
    </row>
    <row r="14" spans="1:16">
      <c r="A14" s="105" t="s">
        <v>610</v>
      </c>
      <c r="B14" s="26">
        <v>0</v>
      </c>
      <c r="C14" s="26">
        <v>0</v>
      </c>
      <c r="D14" s="26">
        <v>0</v>
      </c>
      <c r="O14" s="100"/>
      <c r="P14" s="100"/>
    </row>
    <row r="15" spans="1:16">
      <c r="A15" s="103"/>
      <c r="B15" s="106"/>
      <c r="C15" s="78"/>
      <c r="D15" s="78"/>
      <c r="O15" s="100"/>
      <c r="P15" s="100"/>
    </row>
    <row r="16" spans="1:16">
      <c r="A16" s="103"/>
      <c r="B16" s="78"/>
      <c r="C16" s="78"/>
      <c r="D16" s="78"/>
      <c r="E16" s="78"/>
      <c r="O16" s="100"/>
      <c r="P16" s="100"/>
    </row>
    <row r="17" spans="1:16">
      <c r="A17" s="103"/>
      <c r="B17" s="78"/>
      <c r="C17" s="78"/>
      <c r="D17" s="78"/>
      <c r="E17" s="78"/>
      <c r="O17" s="100"/>
      <c r="P17" s="100"/>
    </row>
    <row r="18" spans="1:16">
      <c r="A18" s="103"/>
      <c r="B18" s="78"/>
      <c r="C18" s="78"/>
      <c r="D18" s="78"/>
      <c r="E18" s="78"/>
      <c r="O18" s="100"/>
      <c r="P18" s="100"/>
    </row>
    <row r="19" spans="1:16">
      <c r="A19" s="103"/>
      <c r="B19" s="92" t="s">
        <v>611</v>
      </c>
      <c r="C19" s="92" t="s">
        <v>612</v>
      </c>
      <c r="D19" s="92" t="s">
        <v>613</v>
      </c>
      <c r="E19" s="92" t="s">
        <v>551</v>
      </c>
      <c r="O19" s="100"/>
      <c r="P19" s="100"/>
    </row>
    <row r="20" spans="1:16">
      <c r="A20" s="108" t="s">
        <v>614</v>
      </c>
      <c r="B20" s="26">
        <v>26994</v>
      </c>
      <c r="C20" s="26">
        <v>23890</v>
      </c>
      <c r="D20" s="26">
        <v>16514</v>
      </c>
      <c r="E20" s="77">
        <f>SUM(B20:D20)</f>
        <v>67398</v>
      </c>
      <c r="O20" s="100"/>
      <c r="P20" s="100"/>
    </row>
    <row r="21" spans="1:16">
      <c r="A21" s="108" t="s">
        <v>615</v>
      </c>
      <c r="B21" s="26">
        <v>15178</v>
      </c>
      <c r="C21" s="26">
        <v>8570</v>
      </c>
      <c r="D21" s="26">
        <v>5698</v>
      </c>
      <c r="E21" s="77">
        <f>SUM(B21:D21)</f>
        <v>29446</v>
      </c>
      <c r="O21" s="100"/>
      <c r="P21" s="100"/>
    </row>
    <row r="22" spans="1:16">
      <c r="A22" s="109" t="s">
        <v>616</v>
      </c>
      <c r="B22" s="25">
        <v>6150</v>
      </c>
      <c r="C22" s="25">
        <v>1088</v>
      </c>
      <c r="D22" s="25">
        <v>1087</v>
      </c>
      <c r="E22" s="77">
        <f>SUM(B22:D22)</f>
        <v>8325</v>
      </c>
      <c r="O22" s="100"/>
      <c r="P22" s="100"/>
    </row>
    <row r="23" spans="1:16">
      <c r="O23" s="100"/>
      <c r="P23" s="100"/>
    </row>
    <row r="24" spans="1:16" ht="18">
      <c r="A24" s="22" t="s">
        <v>617</v>
      </c>
      <c r="O24" s="100"/>
      <c r="P24" s="100"/>
    </row>
    <row r="25" spans="1:16">
      <c r="O25" s="100"/>
      <c r="P25" s="100"/>
    </row>
    <row r="26" spans="1:16">
      <c r="A26" s="59" t="s">
        <v>618</v>
      </c>
      <c r="O26" s="100"/>
      <c r="P26" s="100"/>
    </row>
    <row r="27" spans="1:16">
      <c r="O27" s="100"/>
      <c r="P27" s="100"/>
    </row>
    <row r="28" spans="1:16">
      <c r="A28" s="61" t="s">
        <v>619</v>
      </c>
      <c r="B28" s="5" t="s">
        <v>5</v>
      </c>
    </row>
    <row r="29" spans="1:16">
      <c r="A29" s="59" t="s">
        <v>620</v>
      </c>
      <c r="B29" s="54"/>
    </row>
    <row r="30" spans="1:16">
      <c r="B30" s="54"/>
    </row>
    <row r="31" spans="1:16">
      <c r="A31" s="59" t="s">
        <v>621</v>
      </c>
      <c r="B31" s="54"/>
    </row>
    <row r="32" spans="1:16">
      <c r="A32" s="87" t="s">
        <v>622</v>
      </c>
      <c r="B32" s="40">
        <v>3073</v>
      </c>
    </row>
    <row r="33" spans="1:2">
      <c r="A33" s="87" t="s">
        <v>623</v>
      </c>
      <c r="B33" s="40">
        <v>1881</v>
      </c>
    </row>
    <row r="34" spans="1:2">
      <c r="A34" s="87" t="s">
        <v>624</v>
      </c>
      <c r="B34" s="40">
        <v>56</v>
      </c>
    </row>
    <row r="35" spans="1:2">
      <c r="B35" s="54"/>
    </row>
    <row r="36" spans="1:2">
      <c r="A36" s="87" t="s">
        <v>625</v>
      </c>
      <c r="B36" s="5" t="s">
        <v>21</v>
      </c>
    </row>
    <row r="37" spans="1:2">
      <c r="A37" s="110" t="s">
        <v>626</v>
      </c>
      <c r="B37" s="5"/>
    </row>
    <row r="38" spans="1:2">
      <c r="A38" s="110" t="s">
        <v>627</v>
      </c>
      <c r="B38" s="5"/>
    </row>
    <row r="42" spans="1:2" ht="18">
      <c r="A42" s="22" t="s">
        <v>628</v>
      </c>
    </row>
    <row r="44" spans="1:2">
      <c r="A44" s="2" t="s">
        <v>629</v>
      </c>
    </row>
    <row r="45" spans="1:2">
      <c r="A45" s="4" t="s">
        <v>10</v>
      </c>
    </row>
    <row r="46" spans="1:2">
      <c r="A46" s="52"/>
    </row>
    <row r="47" spans="1:2">
      <c r="A47" s="52"/>
    </row>
    <row r="48" spans="1:2">
      <c r="A48" s="52"/>
    </row>
    <row r="50" spans="1:5" ht="18">
      <c r="A50" s="22" t="s">
        <v>630</v>
      </c>
    </row>
    <row r="52" spans="1:5" ht="36" customHeight="1">
      <c r="A52" s="216" t="s">
        <v>631</v>
      </c>
      <c r="B52" s="216"/>
      <c r="C52" s="216"/>
      <c r="D52" s="216"/>
      <c r="E52" s="216"/>
    </row>
    <row r="53" spans="1:5">
      <c r="A53" s="4" t="s">
        <v>42</v>
      </c>
    </row>
    <row r="55" spans="1:5" ht="18.75">
      <c r="A55" s="111" t="s">
        <v>632</v>
      </c>
    </row>
    <row r="57" spans="1:5" ht="45.95" customHeight="1">
      <c r="A57" s="216" t="s">
        <v>633</v>
      </c>
      <c r="B57" s="216"/>
      <c r="C57" s="216"/>
      <c r="D57" s="216"/>
      <c r="E57" s="216"/>
    </row>
    <row r="58" spans="1:5" ht="30">
      <c r="B58" s="213" t="s">
        <v>634</v>
      </c>
      <c r="C58" s="213" t="s">
        <v>635</v>
      </c>
    </row>
    <row r="59" spans="1:5">
      <c r="A59" s="1" t="s">
        <v>636</v>
      </c>
      <c r="B59" s="25">
        <v>15</v>
      </c>
      <c r="C59" s="25">
        <v>24</v>
      </c>
    </row>
    <row r="60" spans="1:5">
      <c r="A60" s="1" t="s">
        <v>637</v>
      </c>
      <c r="B60" s="25">
        <v>4</v>
      </c>
      <c r="C60" s="25">
        <v>4</v>
      </c>
    </row>
    <row r="61" spans="1:5">
      <c r="A61" s="1" t="s">
        <v>412</v>
      </c>
      <c r="B61" s="25">
        <v>3</v>
      </c>
      <c r="C61" s="25">
        <v>4</v>
      </c>
    </row>
    <row r="62" spans="1:5">
      <c r="A62" s="1" t="s">
        <v>638</v>
      </c>
      <c r="B62" s="25">
        <v>2</v>
      </c>
      <c r="C62" s="25">
        <v>4</v>
      </c>
    </row>
    <row r="63" spans="1:5">
      <c r="A63" s="1" t="s">
        <v>639</v>
      </c>
      <c r="B63" s="25">
        <v>2</v>
      </c>
      <c r="C63" s="25">
        <v>4</v>
      </c>
    </row>
    <row r="64" spans="1:5">
      <c r="A64" s="1" t="s">
        <v>640</v>
      </c>
      <c r="B64" s="25">
        <v>2</v>
      </c>
      <c r="C64" s="25">
        <v>4</v>
      </c>
    </row>
    <row r="65" spans="1:4">
      <c r="A65" s="1" t="s">
        <v>641</v>
      </c>
      <c r="B65" s="25">
        <v>2</v>
      </c>
      <c r="C65" s="25">
        <v>4</v>
      </c>
    </row>
    <row r="66" spans="1:4">
      <c r="A66" s="1" t="s">
        <v>398</v>
      </c>
      <c r="B66" s="25"/>
      <c r="C66" s="25"/>
    </row>
    <row r="67" spans="1:4">
      <c r="A67" s="1" t="s">
        <v>642</v>
      </c>
      <c r="B67" s="25"/>
      <c r="C67" s="25"/>
    </row>
    <row r="68" spans="1:4">
      <c r="A68" s="1" t="s">
        <v>643</v>
      </c>
      <c r="B68" s="25"/>
      <c r="C68" s="25"/>
    </row>
    <row r="69" spans="1:4" ht="20.100000000000001" customHeight="1">
      <c r="A69" s="1" t="s">
        <v>644</v>
      </c>
      <c r="B69" s="25">
        <v>2</v>
      </c>
      <c r="C69" s="25">
        <v>4</v>
      </c>
    </row>
    <row r="70" spans="1:4" ht="17.100000000000001" customHeight="1">
      <c r="B70" s="112"/>
      <c r="C70" s="112"/>
    </row>
    <row r="71" spans="1:4">
      <c r="A71" s="53" t="s">
        <v>645</v>
      </c>
    </row>
    <row r="72" spans="1:4" ht="36" customHeight="1">
      <c r="A72" s="45"/>
      <c r="B72" s="100"/>
      <c r="C72" s="100"/>
      <c r="D72" s="100"/>
    </row>
    <row r="73" spans="1:4" ht="9.9499999999999993" customHeight="1">
      <c r="A73" s="57"/>
      <c r="B73" s="100"/>
      <c r="C73" s="100"/>
      <c r="D73" s="100"/>
    </row>
    <row r="74" spans="1:4" ht="21" customHeight="1">
      <c r="A74" s="100" t="s">
        <v>646</v>
      </c>
      <c r="B74" s="100"/>
      <c r="C74" s="100"/>
      <c r="D74" s="100"/>
    </row>
    <row r="75" spans="1:4" ht="36" customHeight="1">
      <c r="A75" s="45"/>
      <c r="B75" s="100"/>
      <c r="C75" s="100"/>
      <c r="D75" s="100"/>
    </row>
    <row r="76" spans="1:4" ht="14.1" customHeight="1">
      <c r="A76" s="100"/>
      <c r="B76" s="100"/>
      <c r="C76" s="100"/>
      <c r="D76" s="100"/>
    </row>
    <row r="77" spans="1:4" ht="18.75">
      <c r="A77" s="111" t="s">
        <v>647</v>
      </c>
    </row>
    <row r="79" spans="1:4" ht="68.099999999999994" customHeight="1">
      <c r="A79" s="216" t="s">
        <v>648</v>
      </c>
      <c r="B79" s="216"/>
      <c r="C79" s="216"/>
    </row>
    <row r="80" spans="1:4">
      <c r="A80" s="27" t="s">
        <v>3</v>
      </c>
    </row>
    <row r="82" spans="1:5">
      <c r="A82" s="59" t="s">
        <v>649</v>
      </c>
    </row>
    <row r="83" spans="1:5" ht="83.1" customHeight="1">
      <c r="A83" s="38" t="s">
        <v>1388</v>
      </c>
    </row>
    <row r="85" spans="1:5" ht="18.75">
      <c r="A85" s="111" t="s">
        <v>650</v>
      </c>
    </row>
    <row r="87" spans="1:5">
      <c r="A87" s="216" t="s">
        <v>651</v>
      </c>
      <c r="B87" s="216"/>
      <c r="C87" s="216"/>
      <c r="D87" s="216"/>
      <c r="E87" s="216"/>
    </row>
    <row r="88" spans="1:5">
      <c r="A88" s="216"/>
      <c r="B88" s="216"/>
      <c r="C88" s="216"/>
      <c r="D88" s="216"/>
      <c r="E88" s="216"/>
    </row>
    <row r="90" spans="1:5">
      <c r="A90" s="102" t="s">
        <v>652</v>
      </c>
    </row>
    <row r="91" spans="1:5">
      <c r="A91" s="2" t="s">
        <v>653</v>
      </c>
      <c r="B91" s="212" t="s">
        <v>13</v>
      </c>
    </row>
    <row r="92" spans="1:5">
      <c r="A92" s="2" t="s">
        <v>654</v>
      </c>
      <c r="B92" s="212" t="s">
        <v>54</v>
      </c>
    </row>
    <row r="93" spans="1:5">
      <c r="A93" s="2" t="s">
        <v>655</v>
      </c>
      <c r="B93" s="212" t="s">
        <v>13</v>
      </c>
    </row>
    <row r="94" spans="1:5">
      <c r="A94" s="2" t="s">
        <v>656</v>
      </c>
      <c r="B94" s="212" t="s">
        <v>54</v>
      </c>
    </row>
    <row r="95" spans="1:5">
      <c r="A95" s="2" t="s">
        <v>657</v>
      </c>
      <c r="B95" s="212" t="s">
        <v>44</v>
      </c>
    </row>
    <row r="96" spans="1:5">
      <c r="A96" s="2" t="s">
        <v>658</v>
      </c>
      <c r="B96" s="212" t="s">
        <v>29</v>
      </c>
    </row>
    <row r="97" spans="1:2">
      <c r="A97" s="102" t="s">
        <v>659</v>
      </c>
    </row>
    <row r="98" spans="1:2">
      <c r="A98" s="2" t="s">
        <v>660</v>
      </c>
      <c r="B98" s="212" t="s">
        <v>54</v>
      </c>
    </row>
    <row r="99" spans="1:2">
      <c r="A99" s="2" t="s">
        <v>661</v>
      </c>
      <c r="B99" s="212" t="s">
        <v>29</v>
      </c>
    </row>
    <row r="100" spans="1:2">
      <c r="A100" s="2" t="s">
        <v>662</v>
      </c>
      <c r="B100" s="212" t="s">
        <v>29</v>
      </c>
    </row>
    <row r="101" spans="1:2">
      <c r="A101" s="2" t="s">
        <v>663</v>
      </c>
      <c r="B101" s="212" t="s">
        <v>29</v>
      </c>
    </row>
    <row r="102" spans="1:2">
      <c r="A102" s="2" t="s">
        <v>664</v>
      </c>
      <c r="B102" s="212" t="s">
        <v>29</v>
      </c>
    </row>
    <row r="103" spans="1:2">
      <c r="A103" s="2" t="s">
        <v>665</v>
      </c>
      <c r="B103" s="212" t="s">
        <v>54</v>
      </c>
    </row>
    <row r="104" spans="1:2">
      <c r="A104" s="2" t="s">
        <v>666</v>
      </c>
      <c r="B104" s="212" t="s">
        <v>44</v>
      </c>
    </row>
    <row r="105" spans="1:2">
      <c r="A105" s="2" t="s">
        <v>667</v>
      </c>
      <c r="B105" s="212" t="s">
        <v>44</v>
      </c>
    </row>
    <row r="106" spans="1:2">
      <c r="A106" s="2" t="s">
        <v>668</v>
      </c>
      <c r="B106" s="212" t="s">
        <v>54</v>
      </c>
    </row>
    <row r="107" spans="1:2">
      <c r="A107" s="2" t="s">
        <v>669</v>
      </c>
      <c r="B107" s="212" t="s">
        <v>44</v>
      </c>
    </row>
    <row r="108" spans="1:2">
      <c r="A108" s="2" t="s">
        <v>670</v>
      </c>
      <c r="B108" s="212" t="s">
        <v>44</v>
      </c>
    </row>
    <row r="109" spans="1:2">
      <c r="A109" s="2" t="s">
        <v>671</v>
      </c>
      <c r="B109" s="212" t="s">
        <v>54</v>
      </c>
    </row>
    <row r="111" spans="1:2">
      <c r="A111" s="2" t="s">
        <v>672</v>
      </c>
    </row>
    <row r="112" spans="1:2" ht="105.95" customHeight="1">
      <c r="A112" s="38" t="s">
        <v>1387</v>
      </c>
    </row>
    <row r="114" spans="1:4" ht="18.75">
      <c r="A114" s="111" t="s">
        <v>673</v>
      </c>
    </row>
    <row r="115" spans="1:4" ht="33.950000000000003" customHeight="1">
      <c r="A115" s="270" t="s">
        <v>674</v>
      </c>
      <c r="B115" s="270"/>
      <c r="C115" s="270"/>
      <c r="D115" s="4" t="s">
        <v>5</v>
      </c>
    </row>
    <row r="116" spans="1:4">
      <c r="A116" s="113" t="s">
        <v>675</v>
      </c>
    </row>
    <row r="118" spans="1:4" ht="27" customHeight="1">
      <c r="A118" s="52" t="s">
        <v>676</v>
      </c>
    </row>
    <row r="119" spans="1:4">
      <c r="A119" s="5" t="s">
        <v>55</v>
      </c>
    </row>
    <row r="120" spans="1:4" ht="27.95" customHeight="1">
      <c r="A120" s="52" t="s">
        <v>677</v>
      </c>
    </row>
    <row r="121" spans="1:4">
      <c r="A121" s="4" t="s">
        <v>55</v>
      </c>
    </row>
    <row r="122" spans="1:4" ht="29.1" customHeight="1">
      <c r="A122" s="52" t="s">
        <v>678</v>
      </c>
    </row>
    <row r="123" spans="1:4">
      <c r="A123" s="4" t="s">
        <v>55</v>
      </c>
    </row>
    <row r="125" spans="1:4">
      <c r="A125" s="2" t="s">
        <v>679</v>
      </c>
      <c r="B125" s="4" t="s">
        <v>5</v>
      </c>
    </row>
    <row r="127" spans="1:4">
      <c r="A127" s="2" t="s">
        <v>680</v>
      </c>
      <c r="D127" s="6">
        <v>45474</v>
      </c>
    </row>
    <row r="128" spans="1:4">
      <c r="A128" s="59" t="s">
        <v>681</v>
      </c>
    </row>
    <row r="130" spans="1:5" ht="51" customHeight="1">
      <c r="A130" s="216" t="s">
        <v>682</v>
      </c>
      <c r="B130" s="216"/>
      <c r="C130" s="216"/>
      <c r="D130" s="216"/>
      <c r="E130" s="216"/>
    </row>
    <row r="131" spans="1:5" ht="93.95" customHeight="1">
      <c r="A131" s="13" t="s">
        <v>1386</v>
      </c>
    </row>
    <row r="133" spans="1:5" ht="31.5">
      <c r="A133" s="61" t="s">
        <v>683</v>
      </c>
    </row>
    <row r="134" spans="1:5">
      <c r="B134" s="57"/>
      <c r="C134" s="57"/>
      <c r="D134" s="57"/>
      <c r="E134" s="57"/>
    </row>
    <row r="135" spans="1:5">
      <c r="B135" s="57"/>
      <c r="C135" s="57"/>
      <c r="D135" s="57"/>
      <c r="E135" s="57"/>
    </row>
    <row r="136" spans="1:5">
      <c r="B136" s="57"/>
      <c r="C136" s="57"/>
      <c r="D136" s="57"/>
      <c r="E136" s="57"/>
    </row>
    <row r="137" spans="1:5">
      <c r="B137" s="57"/>
      <c r="C137" s="57"/>
      <c r="D137" s="57"/>
      <c r="E137" s="57"/>
    </row>
    <row r="138" spans="1:5">
      <c r="B138" s="57"/>
      <c r="C138" s="57"/>
      <c r="D138" s="57"/>
      <c r="E138" s="57"/>
    </row>
    <row r="139" spans="1:5">
      <c r="B139" s="57"/>
      <c r="C139" s="57"/>
      <c r="D139" s="57"/>
      <c r="E139" s="57"/>
    </row>
    <row r="140" spans="1:5">
      <c r="B140" s="57"/>
      <c r="C140" s="57"/>
      <c r="D140" s="57"/>
      <c r="E140" s="57"/>
    </row>
    <row r="141" spans="1:5">
      <c r="B141" s="57"/>
      <c r="C141" s="57"/>
      <c r="D141" s="57"/>
      <c r="E141" s="57"/>
    </row>
    <row r="142" spans="1:5">
      <c r="A142" s="114" t="s">
        <v>684</v>
      </c>
      <c r="B142" s="57"/>
      <c r="C142" s="57"/>
      <c r="D142" s="57"/>
      <c r="E142" s="57"/>
    </row>
    <row r="143" spans="1:5" ht="71.099999999999994" customHeight="1">
      <c r="A143" s="3"/>
      <c r="B143" s="57"/>
      <c r="C143" s="57"/>
      <c r="D143" s="57"/>
      <c r="E143" s="57"/>
    </row>
    <row r="144" spans="1:5" ht="18.75">
      <c r="A144" s="111" t="s">
        <v>685</v>
      </c>
    </row>
    <row r="145" spans="1:5" ht="3.95" customHeight="1"/>
    <row r="146" spans="1:5" ht="69" customHeight="1">
      <c r="A146" s="250" t="s">
        <v>686</v>
      </c>
      <c r="B146" s="250"/>
      <c r="C146" s="250"/>
      <c r="D146" s="250"/>
      <c r="E146" s="250"/>
    </row>
    <row r="147" spans="1:5" ht="24.95" customHeight="1">
      <c r="A147" s="271" t="s">
        <v>687</v>
      </c>
      <c r="B147" s="271"/>
      <c r="C147" s="271"/>
      <c r="D147" s="271"/>
      <c r="E147" s="271"/>
    </row>
    <row r="148" spans="1:5">
      <c r="A148" s="265" t="s">
        <v>688</v>
      </c>
      <c r="B148" s="266"/>
      <c r="C148" s="266"/>
      <c r="D148" s="266"/>
      <c r="E148" s="266"/>
    </row>
    <row r="149" spans="1:5">
      <c r="A149" s="115" t="s">
        <v>689</v>
      </c>
      <c r="B149" s="116"/>
      <c r="C149" s="116"/>
      <c r="D149" s="116"/>
      <c r="E149" s="116"/>
    </row>
    <row r="150" spans="1:5" ht="53.1" customHeight="1">
      <c r="A150" s="266" t="s">
        <v>690</v>
      </c>
      <c r="B150" s="266"/>
      <c r="C150" s="266"/>
      <c r="D150" s="266"/>
      <c r="E150" s="266"/>
    </row>
    <row r="152" spans="1:5">
      <c r="B152" s="102" t="s">
        <v>691</v>
      </c>
      <c r="C152" s="102" t="s">
        <v>692</v>
      </c>
    </row>
    <row r="153" spans="1:5">
      <c r="A153" s="99" t="s">
        <v>693</v>
      </c>
      <c r="B153" s="29">
        <v>0.40400000000000003</v>
      </c>
      <c r="C153" s="28">
        <v>3363</v>
      </c>
    </row>
    <row r="154" spans="1:5">
      <c r="A154" s="99" t="s">
        <v>694</v>
      </c>
      <c r="B154" s="29">
        <v>0.16</v>
      </c>
      <c r="C154" s="28">
        <v>1334</v>
      </c>
    </row>
    <row r="156" spans="1:5" ht="38.1" customHeight="1">
      <c r="A156" s="270" t="s">
        <v>695</v>
      </c>
      <c r="B156" s="250"/>
      <c r="C156" s="250"/>
      <c r="D156" s="250"/>
      <c r="E156" s="250"/>
    </row>
    <row r="157" spans="1:5" ht="5.0999999999999996" customHeight="1"/>
    <row r="158" spans="1:5" ht="60.95" customHeight="1">
      <c r="A158" s="117" t="s">
        <v>696</v>
      </c>
      <c r="B158" s="72" t="s">
        <v>697</v>
      </c>
      <c r="C158" s="72" t="s">
        <v>698</v>
      </c>
      <c r="D158" s="72" t="s">
        <v>699</v>
      </c>
    </row>
    <row r="159" spans="1:5">
      <c r="A159" s="52" t="s">
        <v>700</v>
      </c>
      <c r="B159" s="9">
        <v>1350</v>
      </c>
      <c r="C159" s="9">
        <v>1450</v>
      </c>
      <c r="D159" s="9">
        <v>1510</v>
      </c>
    </row>
    <row r="160" spans="1:5">
      <c r="A160" s="52" t="s">
        <v>701</v>
      </c>
      <c r="B160" s="9">
        <v>660</v>
      </c>
      <c r="C160" s="9">
        <v>710</v>
      </c>
      <c r="D160" s="9">
        <v>740</v>
      </c>
    </row>
    <row r="161" spans="1:4">
      <c r="A161" s="52" t="s">
        <v>702</v>
      </c>
      <c r="B161" s="9">
        <v>680</v>
      </c>
      <c r="C161" s="9">
        <v>750</v>
      </c>
      <c r="D161" s="9">
        <v>790</v>
      </c>
    </row>
    <row r="162" spans="1:4">
      <c r="A162" s="52" t="s">
        <v>703</v>
      </c>
      <c r="B162" s="9">
        <v>30</v>
      </c>
      <c r="C162" s="9">
        <v>32</v>
      </c>
      <c r="D162" s="9">
        <v>34</v>
      </c>
    </row>
    <row r="163" spans="1:4">
      <c r="A163" s="52" t="s">
        <v>704</v>
      </c>
      <c r="B163" s="9">
        <v>28</v>
      </c>
      <c r="C163" s="9">
        <v>31</v>
      </c>
      <c r="D163" s="9">
        <v>35</v>
      </c>
    </row>
    <row r="164" spans="1:4">
      <c r="A164" s="52" t="s">
        <v>705</v>
      </c>
      <c r="B164" s="9">
        <v>31</v>
      </c>
      <c r="C164" s="9">
        <v>34</v>
      </c>
      <c r="D164" s="9">
        <v>35</v>
      </c>
    </row>
    <row r="165" spans="1:4">
      <c r="A165" s="52" t="s">
        <v>706</v>
      </c>
      <c r="B165" s="9"/>
      <c r="C165" s="9"/>
      <c r="D165" s="9"/>
    </row>
    <row r="166" spans="1:4">
      <c r="A166" s="52" t="s">
        <v>707</v>
      </c>
      <c r="B166" s="9"/>
      <c r="C166" s="9"/>
      <c r="D166" s="9"/>
    </row>
    <row r="167" spans="1:4">
      <c r="A167" s="52" t="s">
        <v>708</v>
      </c>
      <c r="B167" s="9"/>
      <c r="C167" s="9"/>
      <c r="D167" s="9"/>
    </row>
    <row r="168" spans="1:4" ht="31.5">
      <c r="A168" s="118" t="s">
        <v>709</v>
      </c>
    </row>
    <row r="169" spans="1:4" ht="63">
      <c r="A169" s="119" t="s">
        <v>710</v>
      </c>
      <c r="B169" s="120" t="s">
        <v>711</v>
      </c>
      <c r="C169" s="64" t="s">
        <v>712</v>
      </c>
    </row>
    <row r="170" spans="1:4">
      <c r="A170" s="121" t="s">
        <v>713</v>
      </c>
      <c r="B170" s="10">
        <v>0.57999999999999996</v>
      </c>
      <c r="C170" s="11">
        <v>0.7</v>
      </c>
    </row>
    <row r="171" spans="1:4">
      <c r="A171" s="121" t="s">
        <v>714</v>
      </c>
      <c r="B171" s="10">
        <v>0.36</v>
      </c>
      <c r="C171" s="11">
        <v>0.22</v>
      </c>
    </row>
    <row r="172" spans="1:4">
      <c r="A172" s="121" t="s">
        <v>715</v>
      </c>
      <c r="B172" s="10">
        <v>0.06</v>
      </c>
      <c r="C172" s="11">
        <v>0.08</v>
      </c>
    </row>
    <row r="173" spans="1:4">
      <c r="A173" s="121" t="s">
        <v>716</v>
      </c>
      <c r="B173" s="10">
        <v>0</v>
      </c>
      <c r="C173" s="11">
        <v>0</v>
      </c>
    </row>
    <row r="174" spans="1:4">
      <c r="A174" s="121" t="s">
        <v>717</v>
      </c>
      <c r="B174" s="10">
        <v>0</v>
      </c>
      <c r="C174" s="11">
        <v>0</v>
      </c>
    </row>
    <row r="175" spans="1:4">
      <c r="A175" s="121" t="s">
        <v>718</v>
      </c>
      <c r="B175" s="10">
        <v>0</v>
      </c>
      <c r="C175" s="11">
        <v>0</v>
      </c>
    </row>
    <row r="176" spans="1:4">
      <c r="A176" s="122" t="s">
        <v>551</v>
      </c>
      <c r="B176" s="123">
        <f>SUM(B170:B175)</f>
        <v>1</v>
      </c>
      <c r="C176" s="124">
        <f>SUM(C170:C175)</f>
        <v>0.99999999999999989</v>
      </c>
    </row>
    <row r="178" spans="1:5" ht="31.5">
      <c r="A178" s="119" t="s">
        <v>710</v>
      </c>
      <c r="B178" s="120" t="s">
        <v>719</v>
      </c>
      <c r="D178" s="119" t="s">
        <v>710</v>
      </c>
      <c r="E178" s="120" t="s">
        <v>720</v>
      </c>
    </row>
    <row r="179" spans="1:5">
      <c r="A179" s="121" t="s">
        <v>721</v>
      </c>
      <c r="B179" s="10">
        <v>0.65</v>
      </c>
      <c r="D179" s="125" t="s">
        <v>722</v>
      </c>
      <c r="E179" s="10">
        <v>0.78</v>
      </c>
    </row>
    <row r="180" spans="1:5">
      <c r="A180" s="121" t="s">
        <v>723</v>
      </c>
      <c r="B180" s="10">
        <v>0.28999999999999998</v>
      </c>
      <c r="D180" s="125" t="s">
        <v>724</v>
      </c>
      <c r="E180" s="10">
        <v>0.21</v>
      </c>
    </row>
    <row r="181" spans="1:5">
      <c r="A181" s="121" t="s">
        <v>725</v>
      </c>
      <c r="B181" s="10">
        <v>0.06</v>
      </c>
      <c r="D181" s="125" t="s">
        <v>726</v>
      </c>
      <c r="E181" s="10">
        <v>0.01</v>
      </c>
    </row>
    <row r="182" spans="1:5">
      <c r="A182" s="121" t="s">
        <v>727</v>
      </c>
      <c r="B182" s="10">
        <v>0</v>
      </c>
      <c r="D182" s="125" t="s">
        <v>728</v>
      </c>
      <c r="E182" s="10">
        <v>0</v>
      </c>
    </row>
    <row r="183" spans="1:5">
      <c r="A183" s="121" t="s">
        <v>729</v>
      </c>
      <c r="B183" s="10">
        <v>0</v>
      </c>
      <c r="D183" s="125" t="s">
        <v>730</v>
      </c>
      <c r="E183" s="10">
        <v>0</v>
      </c>
    </row>
    <row r="184" spans="1:5">
      <c r="A184" s="121" t="s">
        <v>731</v>
      </c>
      <c r="B184" s="10">
        <v>0</v>
      </c>
      <c r="D184" s="125" t="s">
        <v>732</v>
      </c>
      <c r="E184" s="10">
        <v>0</v>
      </c>
    </row>
    <row r="185" spans="1:5">
      <c r="A185" s="122" t="s">
        <v>551</v>
      </c>
      <c r="B185" s="123">
        <f>SUM(B179:B184)</f>
        <v>1</v>
      </c>
      <c r="D185" s="126" t="s">
        <v>551</v>
      </c>
      <c r="E185" s="123">
        <f>SUM(E179:E184)</f>
        <v>1</v>
      </c>
    </row>
    <row r="188" spans="1:5">
      <c r="A188" s="119" t="s">
        <v>710</v>
      </c>
      <c r="B188" s="127" t="s">
        <v>733</v>
      </c>
      <c r="C188" s="127" t="s">
        <v>734</v>
      </c>
      <c r="D188" s="127" t="s">
        <v>735</v>
      </c>
      <c r="E188" s="127" t="s">
        <v>736</v>
      </c>
    </row>
    <row r="189" spans="1:5">
      <c r="A189" s="125" t="s">
        <v>722</v>
      </c>
      <c r="B189" s="12">
        <v>0.81</v>
      </c>
      <c r="C189" s="12">
        <v>0.64</v>
      </c>
      <c r="D189" s="12"/>
      <c r="E189" s="12"/>
    </row>
    <row r="190" spans="1:5">
      <c r="A190" s="125" t="s">
        <v>724</v>
      </c>
      <c r="B190" s="12">
        <v>0.17</v>
      </c>
      <c r="C190" s="12">
        <v>0.33</v>
      </c>
      <c r="D190" s="12"/>
      <c r="E190" s="12"/>
    </row>
    <row r="191" spans="1:5">
      <c r="A191" s="125" t="s">
        <v>726</v>
      </c>
      <c r="B191" s="12">
        <v>0.02</v>
      </c>
      <c r="C191" s="12">
        <v>0.03</v>
      </c>
      <c r="D191" s="12"/>
      <c r="E191" s="12"/>
    </row>
    <row r="192" spans="1:5">
      <c r="A192" s="125" t="s">
        <v>728</v>
      </c>
      <c r="B192" s="12">
        <v>0</v>
      </c>
      <c r="C192" s="12">
        <v>0</v>
      </c>
      <c r="D192" s="12"/>
      <c r="E192" s="12"/>
    </row>
    <row r="193" spans="1:5">
      <c r="A193" s="125" t="s">
        <v>730</v>
      </c>
      <c r="B193" s="12">
        <v>0</v>
      </c>
      <c r="C193" s="12">
        <v>0</v>
      </c>
      <c r="D193" s="12"/>
      <c r="E193" s="12"/>
    </row>
    <row r="194" spans="1:5">
      <c r="A194" s="125" t="s">
        <v>732</v>
      </c>
      <c r="B194" s="12">
        <v>0</v>
      </c>
      <c r="C194" s="12">
        <v>0</v>
      </c>
      <c r="D194" s="12"/>
      <c r="E194" s="12"/>
    </row>
    <row r="195" spans="1:5">
      <c r="A195" s="126" t="s">
        <v>551</v>
      </c>
      <c r="B195" s="128">
        <f>SUM(B189:B194)</f>
        <v>1</v>
      </c>
      <c r="C195" s="128">
        <f>SUM(C189:C194)</f>
        <v>1</v>
      </c>
      <c r="D195" s="128">
        <f>SUM(D189:D194)</f>
        <v>0</v>
      </c>
      <c r="E195" s="128">
        <f>SUM(E189:E194)</f>
        <v>0</v>
      </c>
    </row>
    <row r="196" spans="1:5" ht="18.75">
      <c r="A196" s="111" t="s">
        <v>737</v>
      </c>
    </row>
    <row r="198" spans="1:5" ht="38.1" customHeight="1">
      <c r="A198" s="250" t="s">
        <v>738</v>
      </c>
      <c r="B198" s="250"/>
      <c r="C198" s="250"/>
      <c r="D198" s="250"/>
      <c r="E198" s="250"/>
    </row>
    <row r="200" spans="1:5">
      <c r="A200" s="129" t="s">
        <v>739</v>
      </c>
      <c r="B200" s="130" t="s">
        <v>2</v>
      </c>
    </row>
    <row r="201" spans="1:5" ht="34.5" customHeight="1">
      <c r="A201" s="119" t="s">
        <v>740</v>
      </c>
      <c r="B201" s="30">
        <v>0.54</v>
      </c>
    </row>
    <row r="202" spans="1:5" ht="34.5" customHeight="1">
      <c r="A202" s="119" t="s">
        <v>741</v>
      </c>
      <c r="B202" s="30">
        <v>0.86</v>
      </c>
    </row>
    <row r="203" spans="1:5" ht="34.5" customHeight="1">
      <c r="A203" s="119" t="s">
        <v>742</v>
      </c>
      <c r="B203" s="30">
        <v>0.98</v>
      </c>
      <c r="D203" s="258" t="s">
        <v>743</v>
      </c>
      <c r="E203" s="258"/>
    </row>
    <row r="204" spans="1:5" ht="34.5" customHeight="1">
      <c r="A204" s="119" t="s">
        <v>744</v>
      </c>
      <c r="B204" s="30">
        <v>0.02</v>
      </c>
      <c r="D204" s="258"/>
      <c r="E204" s="258"/>
    </row>
    <row r="205" spans="1:5" ht="34.5" customHeight="1">
      <c r="A205" s="119" t="s">
        <v>745</v>
      </c>
      <c r="B205" s="30">
        <v>0</v>
      </c>
    </row>
    <row r="206" spans="1:5" ht="34.5" customHeight="1">
      <c r="A206" s="119" t="s">
        <v>746</v>
      </c>
      <c r="B206" s="30">
        <v>0.24</v>
      </c>
    </row>
    <row r="210" spans="1:5" ht="18.75">
      <c r="A210" s="111" t="s">
        <v>747</v>
      </c>
    </row>
    <row r="212" spans="1:5" ht="39.950000000000003" customHeight="1">
      <c r="A212" s="268" t="s">
        <v>748</v>
      </c>
      <c r="B212" s="268"/>
      <c r="C212" s="268"/>
      <c r="D212" s="268"/>
      <c r="E212" s="268"/>
    </row>
    <row r="213" spans="1:5" ht="23.1" customHeight="1">
      <c r="A213" s="269" t="s">
        <v>749</v>
      </c>
      <c r="B213" s="269"/>
      <c r="C213" s="269"/>
      <c r="D213" s="269"/>
      <c r="E213" s="269"/>
    </row>
    <row r="214" spans="1:5" ht="54" customHeight="1">
      <c r="A214" s="269" t="s">
        <v>750</v>
      </c>
      <c r="B214" s="269"/>
      <c r="C214" s="269"/>
      <c r="D214" s="269"/>
      <c r="E214" s="269"/>
    </row>
    <row r="216" spans="1:5">
      <c r="B216" s="131"/>
      <c r="C216" s="131"/>
      <c r="E216" s="267"/>
    </row>
    <row r="217" spans="1:5" ht="63">
      <c r="A217" s="78" t="s">
        <v>710</v>
      </c>
      <c r="B217" s="73" t="s">
        <v>751</v>
      </c>
      <c r="C217" s="73" t="s">
        <v>752</v>
      </c>
      <c r="D217" s="73" t="s">
        <v>753</v>
      </c>
      <c r="E217" s="267"/>
    </row>
    <row r="218" spans="1:5" ht="17.100000000000001" customHeight="1">
      <c r="A218" s="90" t="s">
        <v>754</v>
      </c>
      <c r="B218" s="132"/>
      <c r="C218" s="132"/>
      <c r="D218" s="132"/>
      <c r="E218" s="267"/>
    </row>
    <row r="219" spans="1:5">
      <c r="A219" s="90" t="s">
        <v>755</v>
      </c>
      <c r="B219" s="132"/>
      <c r="C219" s="132"/>
      <c r="D219" s="132"/>
      <c r="E219" s="267"/>
    </row>
    <row r="220" spans="1:5">
      <c r="A220" s="90" t="s">
        <v>756</v>
      </c>
      <c r="B220" s="132"/>
      <c r="C220" s="132"/>
      <c r="D220" s="132"/>
      <c r="E220" s="267"/>
    </row>
    <row r="221" spans="1:5">
      <c r="A221" s="90" t="s">
        <v>757</v>
      </c>
      <c r="B221" s="132"/>
      <c r="C221" s="132"/>
      <c r="D221" s="132"/>
      <c r="E221" s="267"/>
    </row>
    <row r="222" spans="1:5">
      <c r="A222" s="90" t="s">
        <v>758</v>
      </c>
      <c r="B222" s="132"/>
      <c r="C222" s="132"/>
      <c r="D222" s="132"/>
      <c r="E222" s="267"/>
    </row>
    <row r="223" spans="1:5">
      <c r="A223" s="90" t="s">
        <v>759</v>
      </c>
      <c r="B223" s="132"/>
      <c r="C223" s="132"/>
      <c r="D223" s="132"/>
      <c r="E223" s="267"/>
    </row>
    <row r="224" spans="1:5">
      <c r="A224" s="90" t="s">
        <v>760</v>
      </c>
      <c r="B224" s="132"/>
      <c r="C224" s="132"/>
      <c r="D224" s="132"/>
      <c r="E224" s="267"/>
    </row>
    <row r="225" spans="1:5">
      <c r="A225" s="90" t="s">
        <v>761</v>
      </c>
      <c r="B225" s="132"/>
      <c r="C225" s="132"/>
      <c r="D225" s="132"/>
      <c r="E225" s="267"/>
    </row>
    <row r="226" spans="1:5">
      <c r="A226" s="90" t="s">
        <v>762</v>
      </c>
      <c r="B226" s="132"/>
      <c r="C226" s="132"/>
      <c r="D226" s="132"/>
      <c r="E226" s="267"/>
    </row>
    <row r="227" spans="1:5">
      <c r="A227" s="133" t="s">
        <v>551</v>
      </c>
      <c r="B227" s="134">
        <f>SUM(B218:B226)</f>
        <v>0</v>
      </c>
      <c r="C227" s="134">
        <f>SUM(C218:C226)</f>
        <v>0</v>
      </c>
      <c r="D227" s="134">
        <f>SUM(D218:D226)</f>
        <v>0</v>
      </c>
      <c r="E227" s="267"/>
    </row>
    <row r="229" spans="1:5" ht="15.95" customHeight="1">
      <c r="A229" s="260" t="s">
        <v>763</v>
      </c>
      <c r="B229" s="260"/>
      <c r="C229" s="260"/>
      <c r="D229" s="260"/>
      <c r="E229" s="135"/>
    </row>
    <row r="230" spans="1:5">
      <c r="A230" s="260"/>
      <c r="B230" s="260"/>
      <c r="C230" s="260"/>
      <c r="D230" s="260"/>
      <c r="E230" s="135"/>
    </row>
    <row r="231" spans="1:5">
      <c r="B231" s="135"/>
      <c r="C231" s="135"/>
      <c r="D231" s="135"/>
      <c r="E231" s="135"/>
    </row>
    <row r="235" spans="1:5" ht="18.75">
      <c r="A235" s="111" t="s">
        <v>764</v>
      </c>
    </row>
    <row r="237" spans="1:5">
      <c r="A237" s="19" t="s">
        <v>765</v>
      </c>
      <c r="D237" s="33">
        <v>0</v>
      </c>
    </row>
    <row r="238" spans="1:5">
      <c r="A238" s="19"/>
      <c r="D238" s="78"/>
    </row>
    <row r="239" spans="1:5">
      <c r="A239" s="136" t="s">
        <v>766</v>
      </c>
      <c r="D239" s="31">
        <v>0</v>
      </c>
    </row>
    <row r="241" spans="1:2" ht="18.75">
      <c r="A241" s="111"/>
    </row>
    <row r="246" spans="1:2" ht="18.75">
      <c r="A246" s="111" t="s">
        <v>767</v>
      </c>
    </row>
    <row r="248" spans="1:2">
      <c r="A248" s="2" t="s">
        <v>768</v>
      </c>
      <c r="B248" s="5" t="s">
        <v>5</v>
      </c>
    </row>
    <row r="249" spans="1:2" ht="31.5">
      <c r="A249" s="135" t="s">
        <v>769</v>
      </c>
    </row>
    <row r="251" spans="1:2">
      <c r="A251" s="137" t="s">
        <v>770</v>
      </c>
      <c r="B251" s="7" t="s">
        <v>1385</v>
      </c>
    </row>
    <row r="253" spans="1:2">
      <c r="A253" s="137" t="s">
        <v>771</v>
      </c>
      <c r="B253" s="5" t="s">
        <v>5</v>
      </c>
    </row>
    <row r="255" spans="1:2" ht="32.1" customHeight="1">
      <c r="A255" s="138" t="s">
        <v>772</v>
      </c>
      <c r="B255" s="4" t="s">
        <v>15</v>
      </c>
    </row>
    <row r="257" spans="1:2" ht="31.5">
      <c r="A257" s="139" t="s">
        <v>773</v>
      </c>
      <c r="B257" s="4" t="s">
        <v>5</v>
      </c>
    </row>
    <row r="260" spans="1:2" ht="18.75">
      <c r="A260" s="111" t="s">
        <v>774</v>
      </c>
    </row>
    <row r="262" spans="1:2">
      <c r="A262" s="2" t="s">
        <v>775</v>
      </c>
      <c r="B262" s="5" t="s">
        <v>5</v>
      </c>
    </row>
    <row r="264" spans="1:2">
      <c r="A264" s="2" t="s">
        <v>776</v>
      </c>
    </row>
    <row r="265" spans="1:2">
      <c r="A265" s="59" t="s">
        <v>777</v>
      </c>
    </row>
    <row r="267" spans="1:2">
      <c r="A267" s="87" t="s">
        <v>778</v>
      </c>
      <c r="B267" s="46">
        <v>45296</v>
      </c>
    </row>
    <row r="268" spans="1:2">
      <c r="A268" s="87" t="s">
        <v>779</v>
      </c>
      <c r="B268" s="46">
        <v>45597</v>
      </c>
    </row>
    <row r="271" spans="1:2" ht="18.75">
      <c r="A271" s="111" t="s">
        <v>780</v>
      </c>
    </row>
    <row r="273" spans="1:4">
      <c r="A273" s="2" t="s">
        <v>781</v>
      </c>
      <c r="B273" s="5" t="s">
        <v>21</v>
      </c>
    </row>
    <row r="275" spans="1:4" ht="18.75">
      <c r="A275" s="111" t="s">
        <v>782</v>
      </c>
    </row>
    <row r="277" spans="1:4">
      <c r="A277" s="2" t="s">
        <v>783</v>
      </c>
      <c r="C277" s="4" t="s">
        <v>21</v>
      </c>
    </row>
    <row r="279" spans="1:4">
      <c r="A279" s="2" t="s">
        <v>784</v>
      </c>
      <c r="C279" s="18"/>
    </row>
    <row r="281" spans="1:4">
      <c r="A281" s="2" t="s">
        <v>785</v>
      </c>
      <c r="D281" s="18">
        <v>45352</v>
      </c>
    </row>
    <row r="283" spans="1:4" ht="18.75">
      <c r="A283" s="111" t="s">
        <v>786</v>
      </c>
    </row>
    <row r="285" spans="1:4">
      <c r="A285" s="2" t="s">
        <v>787</v>
      </c>
    </row>
    <row r="287" spans="1:4" ht="31.5">
      <c r="A287" s="32" t="s">
        <v>47</v>
      </c>
    </row>
    <row r="289" spans="1:4" ht="33.950000000000003" customHeight="1">
      <c r="A289" s="261" t="s">
        <v>788</v>
      </c>
      <c r="B289" s="261"/>
      <c r="C289" s="262"/>
      <c r="D289" s="9">
        <v>0</v>
      </c>
    </row>
    <row r="290" spans="1:4">
      <c r="A290" s="263" t="s">
        <v>789</v>
      </c>
      <c r="B290" s="263"/>
      <c r="C290" s="264"/>
      <c r="D290" s="18"/>
    </row>
    <row r="291" spans="1:4">
      <c r="B291" s="54"/>
    </row>
    <row r="292" spans="1:4">
      <c r="A292" s="2" t="s">
        <v>790</v>
      </c>
      <c r="B292" s="54"/>
    </row>
    <row r="293" spans="1:4">
      <c r="B293" s="54"/>
    </row>
    <row r="294" spans="1:4" ht="141" customHeight="1">
      <c r="A294" s="3"/>
      <c r="B294" s="54"/>
    </row>
    <row r="295" spans="1:4">
      <c r="B295" s="54"/>
    </row>
    <row r="296" spans="1:4">
      <c r="B296" s="54"/>
    </row>
    <row r="297" spans="1:4">
      <c r="B297" s="54"/>
    </row>
    <row r="298" spans="1:4">
      <c r="B298" s="54"/>
    </row>
    <row r="299" spans="1:4">
      <c r="A299" s="2" t="s">
        <v>791</v>
      </c>
      <c r="B299" s="46"/>
    </row>
    <row r="300" spans="1:4">
      <c r="B300" s="54"/>
    </row>
    <row r="301" spans="1:4">
      <c r="A301" s="2" t="s">
        <v>792</v>
      </c>
      <c r="B301" s="8"/>
    </row>
    <row r="302" spans="1:4">
      <c r="B302" s="54"/>
    </row>
    <row r="303" spans="1:4">
      <c r="A303" s="2" t="s">
        <v>793</v>
      </c>
      <c r="B303" s="5" t="s">
        <v>1350</v>
      </c>
    </row>
    <row r="306" spans="1:3" ht="18.75">
      <c r="A306" s="111" t="s">
        <v>794</v>
      </c>
    </row>
    <row r="308" spans="1:3">
      <c r="A308" s="2" t="s">
        <v>795</v>
      </c>
      <c r="C308" s="5" t="s">
        <v>5</v>
      </c>
    </row>
    <row r="310" spans="1:3">
      <c r="A310" s="2" t="s">
        <v>796</v>
      </c>
      <c r="B310" s="56"/>
    </row>
    <row r="311" spans="1:3">
      <c r="B311" s="56"/>
    </row>
    <row r="312" spans="1:3">
      <c r="A312" s="43" t="s">
        <v>1384</v>
      </c>
    </row>
    <row r="313" spans="1:3">
      <c r="A313" s="56"/>
    </row>
    <row r="314" spans="1:3" ht="18.75">
      <c r="A314" s="111" t="s">
        <v>797</v>
      </c>
    </row>
    <row r="316" spans="1:3" ht="32.1" customHeight="1">
      <c r="A316" s="216" t="s">
        <v>798</v>
      </c>
      <c r="B316" s="216"/>
      <c r="C316" s="4" t="s">
        <v>21</v>
      </c>
    </row>
    <row r="319" spans="1:3" ht="18.75">
      <c r="A319" s="140" t="s">
        <v>799</v>
      </c>
    </row>
    <row r="321" spans="1:3" ht="18.75">
      <c r="A321" s="111" t="s">
        <v>800</v>
      </c>
    </row>
    <row r="323" spans="1:3" ht="15.95" customHeight="1">
      <c r="A323" s="250" t="s">
        <v>801</v>
      </c>
      <c r="B323" s="250"/>
    </row>
    <row r="324" spans="1:3">
      <c r="A324" s="250"/>
      <c r="B324" s="250"/>
      <c r="C324" s="4" t="s">
        <v>21</v>
      </c>
    </row>
    <row r="325" spans="1:3">
      <c r="A325" s="250"/>
      <c r="B325" s="250"/>
    </row>
    <row r="326" spans="1:3">
      <c r="A326" s="250"/>
      <c r="B326" s="250"/>
    </row>
    <row r="328" spans="1:3">
      <c r="A328" s="141" t="s">
        <v>802</v>
      </c>
    </row>
    <row r="329" spans="1:3">
      <c r="A329" s="87" t="s">
        <v>803</v>
      </c>
      <c r="B329" s="46"/>
    </row>
    <row r="330" spans="1:3">
      <c r="A330" s="87" t="s">
        <v>804</v>
      </c>
      <c r="B330" s="46"/>
    </row>
    <row r="331" spans="1:3">
      <c r="A331" s="87"/>
      <c r="B331" s="142"/>
    </row>
    <row r="332" spans="1:3">
      <c r="A332" s="87" t="s">
        <v>805</v>
      </c>
      <c r="B332" s="46"/>
    </row>
    <row r="333" spans="1:3">
      <c r="A333" s="87" t="s">
        <v>806</v>
      </c>
      <c r="B333" s="46"/>
    </row>
    <row r="335" spans="1:3">
      <c r="A335" s="141" t="s">
        <v>814</v>
      </c>
    </row>
    <row r="336" spans="1:3">
      <c r="A336" s="87" t="s">
        <v>1355</v>
      </c>
      <c r="B336" s="28"/>
    </row>
    <row r="337" spans="1:5">
      <c r="A337" s="87" t="s">
        <v>1356</v>
      </c>
      <c r="B337" s="28"/>
    </row>
    <row r="338" spans="1:5">
      <c r="A338" s="87"/>
      <c r="B338" s="49"/>
    </row>
    <row r="339" spans="1:5" ht="15.95" customHeight="1">
      <c r="A339" s="87" t="s">
        <v>807</v>
      </c>
      <c r="B339" s="57"/>
      <c r="C339" s="57"/>
      <c r="D339" s="57"/>
      <c r="E339" s="57"/>
    </row>
    <row r="340" spans="1:5" ht="68.099999999999994" customHeight="1">
      <c r="A340" s="3"/>
      <c r="B340" s="57"/>
      <c r="C340" s="57"/>
      <c r="D340" s="57"/>
      <c r="E340" s="57"/>
    </row>
    <row r="341" spans="1:5" ht="30.95" customHeight="1">
      <c r="A341" s="56"/>
      <c r="B341" s="57"/>
      <c r="C341" s="57"/>
      <c r="D341" s="57"/>
      <c r="E341" s="57"/>
    </row>
    <row r="342" spans="1:5" ht="18.75">
      <c r="A342" s="111" t="s">
        <v>808</v>
      </c>
    </row>
    <row r="344" spans="1:5">
      <c r="A344" s="216" t="s">
        <v>809</v>
      </c>
      <c r="B344" s="216"/>
    </row>
    <row r="345" spans="1:5">
      <c r="A345" s="216"/>
      <c r="B345" s="216"/>
      <c r="C345" s="5" t="s">
        <v>5</v>
      </c>
    </row>
    <row r="346" spans="1:5">
      <c r="A346" s="216"/>
      <c r="B346" s="216"/>
    </row>
    <row r="348" spans="1:5">
      <c r="A348" s="143" t="s">
        <v>810</v>
      </c>
    </row>
    <row r="349" spans="1:5">
      <c r="A349" s="144" t="s">
        <v>811</v>
      </c>
      <c r="B349" s="46">
        <v>45597</v>
      </c>
    </row>
    <row r="350" spans="1:5">
      <c r="A350" s="144" t="s">
        <v>812</v>
      </c>
      <c r="B350" s="46">
        <v>45317</v>
      </c>
    </row>
    <row r="352" spans="1:5">
      <c r="A352" s="216" t="s">
        <v>813</v>
      </c>
    </row>
    <row r="353" spans="1:5">
      <c r="A353" s="216"/>
      <c r="B353" s="5" t="s">
        <v>21</v>
      </c>
    </row>
    <row r="355" spans="1:5">
      <c r="A355" s="141" t="s">
        <v>814</v>
      </c>
    </row>
    <row r="356" spans="1:5">
      <c r="A356" s="87" t="s">
        <v>1352</v>
      </c>
      <c r="B356" s="28"/>
    </row>
    <row r="357" spans="1:5">
      <c r="A357" s="87" t="s">
        <v>1353</v>
      </c>
      <c r="B357" s="28"/>
    </row>
    <row r="358" spans="1:5">
      <c r="A358" s="87" t="s">
        <v>1354</v>
      </c>
      <c r="B358" s="44"/>
    </row>
    <row r="365" spans="1:5" ht="18.75">
      <c r="A365" s="215" t="s">
        <v>815</v>
      </c>
      <c r="B365" s="215"/>
      <c r="C365" s="215"/>
      <c r="D365" s="215"/>
      <c r="E365" s="215"/>
    </row>
  </sheetData>
  <sheetProtection formatCells="0" formatColumns="0" formatRows="0" selectLockedCells="1"/>
  <mergeCells count="27">
    <mergeCell ref="A344:B346"/>
    <mergeCell ref="A352:A353"/>
    <mergeCell ref="A365:E365"/>
    <mergeCell ref="A316:B316"/>
    <mergeCell ref="A323:B326"/>
    <mergeCell ref="A1:E1"/>
    <mergeCell ref="A214:E214"/>
    <mergeCell ref="A150:E150"/>
    <mergeCell ref="A156:E156"/>
    <mergeCell ref="A198:E198"/>
    <mergeCell ref="A115:C115"/>
    <mergeCell ref="A3:E3"/>
    <mergeCell ref="A87:E88"/>
    <mergeCell ref="A130:E130"/>
    <mergeCell ref="A146:E146"/>
    <mergeCell ref="A147:E147"/>
    <mergeCell ref="A52:E52"/>
    <mergeCell ref="A57:E57"/>
    <mergeCell ref="A79:C79"/>
    <mergeCell ref="A229:D230"/>
    <mergeCell ref="A289:C289"/>
    <mergeCell ref="A290:C290"/>
    <mergeCell ref="A148:E148"/>
    <mergeCell ref="E216:E227"/>
    <mergeCell ref="D203:E204"/>
    <mergeCell ref="A212:E212"/>
    <mergeCell ref="A213:E213"/>
  </mergeCells>
  <conditionalFormatting sqref="B185">
    <cfRule type="cellIs" dxfId="6" priority="4" operator="greaterThan">
      <formula>1</formula>
    </cfRule>
  </conditionalFormatting>
  <conditionalFormatting sqref="B201:B206">
    <cfRule type="cellIs" dxfId="5" priority="1" operator="greaterThan">
      <formula>1</formula>
    </cfRule>
  </conditionalFormatting>
  <conditionalFormatting sqref="B176:C176">
    <cfRule type="cellIs" dxfId="4" priority="5" operator="greaterThan">
      <formula>1</formula>
    </cfRule>
  </conditionalFormatting>
  <conditionalFormatting sqref="B227:D227">
    <cfRule type="cellIs" dxfId="3" priority="6" operator="greaterThan">
      <formula>1</formula>
    </cfRule>
  </conditionalFormatting>
  <conditionalFormatting sqref="B195:E195">
    <cfRule type="cellIs" dxfId="2" priority="2" operator="greaterThan">
      <formula>1</formula>
    </cfRule>
  </conditionalFormatting>
  <conditionalFormatting sqref="E185">
    <cfRule type="cellIs" dxfId="1" priority="3" operator="greaterThan">
      <formula>1</formula>
    </cfRule>
  </conditionalFormatting>
  <dataValidations count="8">
    <dataValidation type="custom" allowBlank="1" showInputMessage="1" showErrorMessage="1" errorTitle="Incorrect Format" error="Cell must contain numeric value (percentage). " sqref="B189:E194" xr:uid="{23D2DE30-FBA0-AA48-86B8-6081B236968F}">
      <formula1>ISNUMBER(B189:E194)</formula1>
    </dataValidation>
    <dataValidation type="whole" allowBlank="1" showInputMessage="1" showErrorMessage="1" sqref="D289" xr:uid="{B2BF4DFD-00E2-DA46-863A-4DF627E8C080}">
      <formula1>0</formula1>
      <formula2>50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sqref="B32:B34" xr:uid="{371D39A1-2C69-FA4E-8EBF-AF9F5A23894E}">
      <formula1>0</formula1>
      <formula2>10000000000</formula2>
    </dataValidation>
    <dataValidation type="whole" allowBlank="1" showInputMessage="1" showErrorMessage="1" sqref="B20:D22" xr:uid="{9905DAE1-077F-4D42-AD22-8EEDA079FDDE}">
      <formula1>0</formula1>
      <formula2>100000000000</formula2>
    </dataValidation>
  </dataValidations>
  <pageMargins left="0.7" right="0.7" top="0.75" bottom="0.75" header="0.3" footer="0.3"/>
  <pageSetup scale="10"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40962" r:id="rId5" name="Check Box 2">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40963" r:id="rId6" name="Check Box 3">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40964" r:id="rId7" name="Check Box 4">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40965" r:id="rId8" name="Check Box 5">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40966" r:id="rId9" name="Check Box 6">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5C53B-9A40-47DF-9B73-EEC4FCEF0B4E}">
  <sheetPr>
    <pageSetUpPr fitToPage="1"/>
  </sheetPr>
  <dimension ref="A1:I137"/>
  <sheetViews>
    <sheetView showGridLines="0" showRuler="0" zoomScaleNormal="100" zoomScalePageLayoutView="157" workbookViewId="0">
      <selection sqref="A1:G1"/>
    </sheetView>
  </sheetViews>
  <sheetFormatPr defaultColWidth="11" defaultRowHeight="15.75"/>
  <cols>
    <col min="1" max="1" width="11" style="2"/>
    <col min="2" max="2" width="15" style="2" customWidth="1"/>
    <col min="3" max="4" width="11.5" style="2" customWidth="1"/>
    <col min="5" max="5" width="11.625" style="2" customWidth="1"/>
    <col min="6" max="6" width="37.125" style="2" customWidth="1"/>
    <col min="7" max="7" width="10.125" style="2" customWidth="1"/>
    <col min="8" max="16" width="10.875" style="2" customWidth="1"/>
    <col min="17" max="16384" width="11" style="2"/>
  </cols>
  <sheetData>
    <row r="1" spans="1:9" ht="18">
      <c r="A1" s="223" t="s">
        <v>1360</v>
      </c>
      <c r="B1" s="223"/>
      <c r="C1" s="223"/>
      <c r="D1" s="223"/>
      <c r="E1" s="223"/>
      <c r="F1" s="223"/>
      <c r="G1" s="223"/>
      <c r="H1" s="22"/>
    </row>
    <row r="3" spans="1:9" ht="18">
      <c r="A3" s="22" t="s">
        <v>816</v>
      </c>
    </row>
    <row r="4" spans="1:9" ht="15.95" customHeight="1">
      <c r="F4" s="273" t="s">
        <v>817</v>
      </c>
      <c r="G4" s="273"/>
      <c r="H4" s="145"/>
    </row>
    <row r="5" spans="1:9" ht="23.25">
      <c r="A5" s="2" t="s">
        <v>818</v>
      </c>
      <c r="E5" s="4" t="s">
        <v>5</v>
      </c>
      <c r="F5" s="273"/>
      <c r="G5" s="273"/>
      <c r="H5" s="145"/>
      <c r="I5" s="146"/>
    </row>
    <row r="7" spans="1:9" ht="39.950000000000003" customHeight="1">
      <c r="A7" s="216" t="s">
        <v>819</v>
      </c>
      <c r="B7" s="216"/>
      <c r="C7" s="216"/>
      <c r="D7" s="216"/>
      <c r="E7" s="216"/>
      <c r="F7" s="216"/>
      <c r="G7" s="4" t="s">
        <v>5</v>
      </c>
      <c r="I7" s="57"/>
    </row>
    <row r="8" spans="1:9">
      <c r="A8" s="57"/>
      <c r="B8" s="57"/>
      <c r="C8" s="57"/>
      <c r="D8" s="57"/>
      <c r="E8" s="57"/>
      <c r="F8" s="57"/>
      <c r="G8" s="57"/>
      <c r="H8" s="57"/>
      <c r="I8" s="57"/>
    </row>
    <row r="9" spans="1:9" ht="18">
      <c r="A9" s="22" t="s">
        <v>820</v>
      </c>
    </row>
    <row r="11" spans="1:9" ht="39" customHeight="1">
      <c r="A11" s="216" t="s">
        <v>821</v>
      </c>
      <c r="B11" s="216"/>
      <c r="C11" s="216"/>
      <c r="D11" s="216"/>
      <c r="E11" s="216"/>
      <c r="F11" s="216"/>
      <c r="G11" s="216"/>
      <c r="H11" s="57"/>
      <c r="I11" s="57"/>
    </row>
    <row r="12" spans="1:9" ht="39" customHeight="1">
      <c r="A12" s="56"/>
      <c r="B12" s="56"/>
      <c r="C12" s="72" t="s">
        <v>822</v>
      </c>
      <c r="D12" s="72" t="s">
        <v>823</v>
      </c>
      <c r="E12" s="72" t="s">
        <v>824</v>
      </c>
      <c r="F12" s="56"/>
      <c r="G12" s="56"/>
      <c r="H12" s="56"/>
      <c r="I12" s="56"/>
    </row>
    <row r="13" spans="1:9">
      <c r="B13" s="87" t="s">
        <v>506</v>
      </c>
      <c r="C13" s="4">
        <v>2845</v>
      </c>
      <c r="D13" s="4">
        <v>1437</v>
      </c>
      <c r="E13" s="4">
        <v>650</v>
      </c>
    </row>
    <row r="14" spans="1:9">
      <c r="B14" s="87" t="s">
        <v>507</v>
      </c>
      <c r="C14" s="4">
        <v>2084</v>
      </c>
      <c r="D14" s="4">
        <v>1111</v>
      </c>
      <c r="E14" s="4">
        <v>806</v>
      </c>
    </row>
    <row r="15" spans="1:9">
      <c r="B15" s="87" t="s">
        <v>508</v>
      </c>
      <c r="C15" s="4">
        <v>13</v>
      </c>
      <c r="D15" s="4">
        <v>7</v>
      </c>
      <c r="E15" s="4">
        <v>6</v>
      </c>
    </row>
    <row r="16" spans="1:9">
      <c r="B16" s="87" t="s">
        <v>551</v>
      </c>
      <c r="C16" s="147">
        <f>SUM(C13:C15)</f>
        <v>4942</v>
      </c>
      <c r="D16" s="147">
        <f>SUM(D13:D15)</f>
        <v>2555</v>
      </c>
      <c r="E16" s="147">
        <f>SUM(E13:E15)</f>
        <v>1462</v>
      </c>
    </row>
    <row r="19" spans="1:7" ht="18">
      <c r="A19" s="22" t="s">
        <v>825</v>
      </c>
    </row>
    <row r="21" spans="1:7">
      <c r="A21" s="2" t="s">
        <v>826</v>
      </c>
    </row>
    <row r="29" spans="1:7" ht="18">
      <c r="A29" s="22" t="s">
        <v>827</v>
      </c>
    </row>
    <row r="31" spans="1:7" ht="35.1" customHeight="1">
      <c r="A31" s="216" t="s">
        <v>828</v>
      </c>
      <c r="B31" s="216"/>
      <c r="C31" s="216"/>
      <c r="D31" s="216"/>
      <c r="E31" s="216"/>
      <c r="F31" s="216"/>
      <c r="G31" s="4" t="s">
        <v>21</v>
      </c>
    </row>
    <row r="33" spans="1:8">
      <c r="A33" s="2" t="s">
        <v>829</v>
      </c>
      <c r="G33" s="78"/>
      <c r="H33" s="78"/>
    </row>
    <row r="34" spans="1:8" ht="24" customHeight="1">
      <c r="B34" s="148" t="s">
        <v>830</v>
      </c>
      <c r="C34" s="33"/>
      <c r="E34" s="149" t="s">
        <v>831</v>
      </c>
      <c r="F34" s="4"/>
      <c r="G34" s="73"/>
    </row>
    <row r="36" spans="1:8" ht="18">
      <c r="A36" s="22" t="s">
        <v>832</v>
      </c>
    </row>
    <row r="38" spans="1:8">
      <c r="A38" s="2" t="s">
        <v>833</v>
      </c>
    </row>
    <row r="39" spans="1:8">
      <c r="B39" s="59" t="s">
        <v>834</v>
      </c>
    </row>
    <row r="41" spans="1:8">
      <c r="A41" s="272" t="s">
        <v>835</v>
      </c>
      <c r="B41" s="272"/>
      <c r="C41" s="272"/>
      <c r="D41" s="272"/>
      <c r="F41" s="4" t="s">
        <v>1357</v>
      </c>
    </row>
    <row r="42" spans="1:8">
      <c r="A42" s="272" t="s">
        <v>836</v>
      </c>
      <c r="B42" s="272"/>
      <c r="C42" s="272"/>
      <c r="D42" s="272"/>
      <c r="F42" s="4" t="s">
        <v>1357</v>
      </c>
    </row>
    <row r="43" spans="1:8">
      <c r="A43" s="272" t="s">
        <v>837</v>
      </c>
      <c r="B43" s="272"/>
      <c r="C43" s="272"/>
      <c r="D43" s="272"/>
      <c r="F43" s="4" t="s">
        <v>1357</v>
      </c>
    </row>
    <row r="44" spans="1:8">
      <c r="A44" s="272" t="s">
        <v>660</v>
      </c>
      <c r="B44" s="272"/>
      <c r="C44" s="272"/>
      <c r="D44" s="272"/>
      <c r="F44" s="4" t="s">
        <v>61</v>
      </c>
    </row>
    <row r="45" spans="1:8">
      <c r="A45" s="272" t="s">
        <v>838</v>
      </c>
      <c r="B45" s="272"/>
      <c r="C45" s="272"/>
      <c r="D45" s="272"/>
      <c r="F45" s="4" t="s">
        <v>61</v>
      </c>
    </row>
    <row r="46" spans="1:8">
      <c r="A46" s="272" t="s">
        <v>839</v>
      </c>
      <c r="B46" s="272"/>
      <c r="C46" s="272"/>
      <c r="D46" s="272"/>
      <c r="F46" s="4" t="s">
        <v>61</v>
      </c>
    </row>
    <row r="49" spans="1:8" ht="18">
      <c r="A49" s="22" t="s">
        <v>840</v>
      </c>
    </row>
    <row r="50" spans="1:8">
      <c r="A50" s="2" t="s">
        <v>841</v>
      </c>
    </row>
    <row r="52" spans="1:8">
      <c r="B52" s="272" t="s">
        <v>842</v>
      </c>
      <c r="C52" s="272"/>
      <c r="D52" s="272"/>
      <c r="E52" s="33"/>
    </row>
    <row r="54" spans="1:8" ht="18">
      <c r="A54" s="22" t="s">
        <v>843</v>
      </c>
    </row>
    <row r="55" spans="1:8">
      <c r="A55" s="2" t="s">
        <v>844</v>
      </c>
    </row>
    <row r="57" spans="1:8">
      <c r="B57" s="272" t="s">
        <v>842</v>
      </c>
      <c r="C57" s="272"/>
      <c r="D57" s="272"/>
      <c r="E57" s="33"/>
    </row>
    <row r="58" spans="1:8" ht="18">
      <c r="A58" s="22" t="s">
        <v>845</v>
      </c>
    </row>
    <row r="59" spans="1:8" ht="114.95" customHeight="1">
      <c r="F59" s="38" t="s">
        <v>1390</v>
      </c>
    </row>
    <row r="61" spans="1:8" ht="18">
      <c r="A61" s="22" t="s">
        <v>846</v>
      </c>
    </row>
    <row r="62" spans="1:8" ht="24" customHeight="1">
      <c r="A62" s="216" t="s">
        <v>847</v>
      </c>
      <c r="B62" s="216"/>
      <c r="C62" s="216"/>
      <c r="D62" s="216"/>
      <c r="E62" s="216"/>
      <c r="F62" s="216"/>
      <c r="G62" s="57"/>
      <c r="H62" s="57"/>
    </row>
    <row r="63" spans="1:8" ht="24" customHeight="1">
      <c r="A63" s="216"/>
      <c r="B63" s="216"/>
      <c r="C63" s="216"/>
      <c r="D63" s="216"/>
      <c r="E63" s="216"/>
      <c r="F63" s="216"/>
      <c r="G63" s="57"/>
      <c r="H63" s="57"/>
    </row>
    <row r="65" spans="1:6" ht="31.5">
      <c r="B65" s="72" t="s">
        <v>779</v>
      </c>
      <c r="C65" s="72" t="s">
        <v>848</v>
      </c>
      <c r="D65" s="72" t="s">
        <v>849</v>
      </c>
      <c r="E65" s="72" t="s">
        <v>850</v>
      </c>
      <c r="F65" s="72" t="s">
        <v>851</v>
      </c>
    </row>
    <row r="66" spans="1:6">
      <c r="A66" s="99" t="s">
        <v>852</v>
      </c>
      <c r="B66" s="46">
        <v>45352</v>
      </c>
      <c r="C66" s="46">
        <v>45383</v>
      </c>
      <c r="D66" s="46"/>
      <c r="E66" s="46"/>
    </row>
    <row r="67" spans="1:6">
      <c r="A67" s="99" t="s">
        <v>853</v>
      </c>
      <c r="B67" s="46"/>
      <c r="C67" s="46"/>
      <c r="D67" s="46"/>
      <c r="E67" s="46"/>
    </row>
    <row r="68" spans="1:6">
      <c r="A68" s="99" t="s">
        <v>854</v>
      </c>
      <c r="B68" s="46"/>
      <c r="C68" s="46">
        <v>45580</v>
      </c>
      <c r="D68" s="46"/>
      <c r="E68" s="46"/>
    </row>
    <row r="69" spans="1:6">
      <c r="A69" s="99" t="s">
        <v>855</v>
      </c>
      <c r="B69" s="46"/>
      <c r="C69" s="46"/>
      <c r="D69" s="46"/>
      <c r="E69" s="46"/>
    </row>
    <row r="75" spans="1:6" ht="18">
      <c r="A75" s="22" t="s">
        <v>856</v>
      </c>
    </row>
    <row r="77" spans="1:6" ht="39.950000000000003" customHeight="1">
      <c r="A77" s="216" t="s">
        <v>857</v>
      </c>
      <c r="B77" s="216"/>
      <c r="C77" s="216"/>
      <c r="D77" s="216"/>
      <c r="E77" s="14" t="s">
        <v>21</v>
      </c>
    </row>
    <row r="78" spans="1:6" ht="18">
      <c r="A78" s="22" t="s">
        <v>858</v>
      </c>
    </row>
    <row r="79" spans="1:6">
      <c r="A79" s="2" t="s">
        <v>859</v>
      </c>
    </row>
    <row r="80" spans="1:6" ht="66" customHeight="1">
      <c r="F80" s="3" t="s">
        <v>1390</v>
      </c>
    </row>
    <row r="81" spans="1:4" ht="18">
      <c r="A81" s="22" t="s">
        <v>860</v>
      </c>
    </row>
    <row r="82" spans="1:4">
      <c r="A82" s="2" t="s">
        <v>861</v>
      </c>
    </row>
    <row r="84" spans="1:4">
      <c r="B84" s="2" t="s">
        <v>862</v>
      </c>
      <c r="C84" s="4" t="s">
        <v>1391</v>
      </c>
    </row>
    <row r="86" spans="1:4" ht="18">
      <c r="A86" s="22" t="s">
        <v>863</v>
      </c>
    </row>
    <row r="87" spans="1:4">
      <c r="A87" s="2" t="s">
        <v>864</v>
      </c>
    </row>
    <row r="89" spans="1:4">
      <c r="A89" s="2" t="s">
        <v>865</v>
      </c>
      <c r="B89" s="33"/>
      <c r="C89" s="2" t="s">
        <v>866</v>
      </c>
      <c r="D89" s="4"/>
    </row>
    <row r="91" spans="1:4" ht="18">
      <c r="A91" s="22" t="s">
        <v>867</v>
      </c>
    </row>
    <row r="92" spans="1:4">
      <c r="A92" s="2" t="s">
        <v>868</v>
      </c>
    </row>
    <row r="94" spans="1:4">
      <c r="A94" s="2" t="s">
        <v>865</v>
      </c>
      <c r="B94" s="33"/>
      <c r="C94" s="2" t="s">
        <v>866</v>
      </c>
      <c r="D94" s="4"/>
    </row>
    <row r="96" spans="1:4" ht="18">
      <c r="A96" s="22" t="s">
        <v>869</v>
      </c>
    </row>
    <row r="97" spans="1:6">
      <c r="A97" s="2" t="s">
        <v>870</v>
      </c>
    </row>
    <row r="99" spans="1:6">
      <c r="A99" s="2" t="s">
        <v>865</v>
      </c>
      <c r="B99" s="33"/>
    </row>
    <row r="101" spans="1:6" ht="18">
      <c r="A101" s="22" t="s">
        <v>871</v>
      </c>
    </row>
    <row r="102" spans="1:6">
      <c r="A102" s="2" t="s">
        <v>872</v>
      </c>
    </row>
    <row r="104" spans="1:6">
      <c r="A104" s="2" t="s">
        <v>865</v>
      </c>
      <c r="B104" s="33">
        <v>45</v>
      </c>
    </row>
    <row r="105" spans="1:6">
      <c r="F105" s="56"/>
    </row>
    <row r="106" spans="1:6">
      <c r="F106" s="56"/>
    </row>
    <row r="107" spans="1:6" ht="18">
      <c r="A107" s="22" t="s">
        <v>873</v>
      </c>
      <c r="F107" s="56"/>
    </row>
    <row r="108" spans="1:6">
      <c r="A108" s="2" t="s">
        <v>874</v>
      </c>
      <c r="F108" s="56"/>
    </row>
    <row r="109" spans="1:6" ht="78" customHeight="1">
      <c r="F109" s="3"/>
    </row>
    <row r="110" spans="1:6" ht="18">
      <c r="A110" s="22" t="s">
        <v>875</v>
      </c>
    </row>
    <row r="111" spans="1:6">
      <c r="A111" s="2" t="s">
        <v>876</v>
      </c>
    </row>
    <row r="116" spans="1:7" ht="18.75">
      <c r="F116" s="62"/>
    </row>
    <row r="117" spans="1:7" ht="18">
      <c r="A117" s="22" t="s">
        <v>877</v>
      </c>
    </row>
    <row r="118" spans="1:7">
      <c r="A118" s="216" t="s">
        <v>878</v>
      </c>
      <c r="B118" s="216"/>
      <c r="C118" s="216"/>
      <c r="D118" s="216"/>
      <c r="E118" s="216"/>
      <c r="F118" s="216"/>
      <c r="G118" s="216"/>
    </row>
    <row r="119" spans="1:7" ht="20.100000000000001" customHeight="1">
      <c r="A119" s="216"/>
      <c r="B119" s="216"/>
      <c r="C119" s="216"/>
      <c r="D119" s="216"/>
      <c r="E119" s="216"/>
      <c r="F119" s="216"/>
      <c r="G119" s="216"/>
    </row>
    <row r="120" spans="1:7">
      <c r="B120" s="87" t="s">
        <v>865</v>
      </c>
      <c r="C120" s="33"/>
      <c r="D120" s="87" t="s">
        <v>866</v>
      </c>
      <c r="E120" s="4"/>
    </row>
    <row r="122" spans="1:7" ht="18">
      <c r="A122" s="22" t="s">
        <v>879</v>
      </c>
    </row>
    <row r="123" spans="1:7">
      <c r="A123" s="216" t="s">
        <v>880</v>
      </c>
      <c r="B123" s="216"/>
      <c r="C123" s="216"/>
      <c r="D123" s="216"/>
      <c r="E123" s="216"/>
      <c r="F123" s="216"/>
      <c r="G123" s="216"/>
    </row>
    <row r="124" spans="1:7" ht="35.1" customHeight="1">
      <c r="A124" s="216"/>
      <c r="B124" s="216"/>
      <c r="C124" s="216"/>
      <c r="D124" s="216"/>
      <c r="E124" s="216"/>
      <c r="F124" s="216"/>
      <c r="G124" s="216"/>
    </row>
    <row r="125" spans="1:7">
      <c r="B125" s="87" t="s">
        <v>865</v>
      </c>
      <c r="C125" s="33"/>
      <c r="D125" s="87" t="s">
        <v>866</v>
      </c>
      <c r="E125" s="4"/>
    </row>
    <row r="127" spans="1:7" ht="18">
      <c r="A127" s="22" t="s">
        <v>881</v>
      </c>
    </row>
    <row r="128" spans="1:7" ht="15.95" customHeight="1">
      <c r="A128" s="216" t="s">
        <v>882</v>
      </c>
      <c r="B128" s="216"/>
      <c r="C128" s="216"/>
      <c r="D128" s="216"/>
      <c r="E128" s="216"/>
      <c r="F128" s="4" t="s">
        <v>5</v>
      </c>
    </row>
    <row r="129" spans="1:8" ht="15.95" customHeight="1">
      <c r="A129" s="216"/>
      <c r="B129" s="216"/>
      <c r="C129" s="216"/>
      <c r="D129" s="216"/>
      <c r="E129" s="216"/>
    </row>
    <row r="130" spans="1:8">
      <c r="A130" s="100"/>
      <c r="B130" s="100"/>
      <c r="C130" s="100"/>
      <c r="D130" s="100"/>
      <c r="E130" s="100"/>
    </row>
    <row r="131" spans="1:8">
      <c r="A131" s="2" t="s">
        <v>883</v>
      </c>
      <c r="F131" s="48" t="s">
        <v>1392</v>
      </c>
    </row>
    <row r="132" spans="1:8" ht="27.95" customHeight="1"/>
    <row r="133" spans="1:8" ht="18">
      <c r="A133" s="22" t="s">
        <v>884</v>
      </c>
    </row>
    <row r="134" spans="1:8" ht="27" customHeight="1">
      <c r="A134" s="2" t="s">
        <v>885</v>
      </c>
    </row>
    <row r="135" spans="1:8" ht="206.1" customHeight="1">
      <c r="F135" s="3"/>
    </row>
    <row r="136" spans="1:8">
      <c r="F136" s="56"/>
    </row>
    <row r="137" spans="1:8" ht="18.75">
      <c r="A137" s="215" t="s">
        <v>886</v>
      </c>
      <c r="B137" s="215"/>
      <c r="C137" s="215"/>
      <c r="D137" s="215"/>
      <c r="E137" s="215"/>
      <c r="F137" s="215"/>
      <c r="G137" s="215"/>
      <c r="H137" s="55"/>
    </row>
  </sheetData>
  <sheetProtection formatColumns="0" formatRows="0" selectLockedCells="1"/>
  <mergeCells count="19">
    <mergeCell ref="A137:G137"/>
    <mergeCell ref="B57:D57"/>
    <mergeCell ref="A62:F63"/>
    <mergeCell ref="A77:D77"/>
    <mergeCell ref="A118:G119"/>
    <mergeCell ref="A123:G124"/>
    <mergeCell ref="A128:E129"/>
    <mergeCell ref="B52:D52"/>
    <mergeCell ref="A1:G1"/>
    <mergeCell ref="F4:G5"/>
    <mergeCell ref="A7:F7"/>
    <mergeCell ref="A11:G11"/>
    <mergeCell ref="A31:F31"/>
    <mergeCell ref="A41:D41"/>
    <mergeCell ref="A42:D42"/>
    <mergeCell ref="A43:D43"/>
    <mergeCell ref="A44:D44"/>
    <mergeCell ref="A45:D45"/>
    <mergeCell ref="A46:D46"/>
  </mergeCells>
  <dataValidations count="3">
    <dataValidation type="whole" allowBlank="1" showInputMessage="1" showErrorMessage="1" sqref="C13 E13 C14:E15" xr:uid="{F026B483-90B9-46D4-996C-04291309006D}">
      <formula1>0</formula1>
      <formula2>10000000000000</formula2>
    </dataValidation>
    <dataValidation type="list" allowBlank="1" showInputMessage="1" showErrorMessage="1" sqref="I77" xr:uid="{CBD2394D-13E9-48BD-A229-0DC73C55AEE4}">
      <formula1>$I$75:$I$76</formula1>
    </dataValidation>
    <dataValidation type="list" allowBlank="1" showInputMessage="1" showErrorMessage="1" sqref="G129" xr:uid="{63552A10-66B0-43E5-8CEC-3E1596656351}">
      <formula1>$I$128:$I$130</formula1>
    </dataValidation>
  </dataValidations>
  <pageMargins left="0.7" right="0.7" top="0.75" bottom="0.75" header="0.3" footer="0.3"/>
  <pageSetup fitToHeight="0"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41986" r:id="rId5" name="Check Box 2">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41987" r:id="rId6" name="Check Box 3">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41988" r:id="rId7" name="Check Box 4">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41989" r:id="rId8" name="Check Box 5">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41990" r:id="rId9" name="Check Box 6">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41991" r:id="rId10" name="Check Box 7">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41992" r:id="rId11" name="Check Box 8">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41993" r:id="rId12" name="Check Box 9">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41994" r:id="rId13" name="Check Box 10">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41995" r:id="rId14" name="Check Box 11">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zoomScaleNormal="100" zoomScalePageLayoutView="110" workbookViewId="0">
      <selection activeCell="B3" sqref="B3"/>
    </sheetView>
  </sheetViews>
  <sheetFormatPr defaultColWidth="11" defaultRowHeight="15.75"/>
  <cols>
    <col min="1" max="1" width="18.875" style="2" customWidth="1"/>
    <col min="2" max="2" width="24.625" style="2" customWidth="1"/>
    <col min="3" max="3" width="22.5" style="2" customWidth="1"/>
    <col min="4" max="4" width="45.125" style="2" customWidth="1"/>
    <col min="5" max="16384" width="11" style="2"/>
  </cols>
  <sheetData>
    <row r="1" spans="1:4" ht="18">
      <c r="A1" s="223" t="s">
        <v>887</v>
      </c>
      <c r="B1" s="223"/>
      <c r="C1" s="223"/>
      <c r="D1" s="223"/>
    </row>
    <row r="3" spans="1:4" ht="18">
      <c r="A3" s="22" t="s">
        <v>888</v>
      </c>
    </row>
    <row r="5" spans="1:4">
      <c r="A5" s="150" t="s">
        <v>889</v>
      </c>
    </row>
    <row r="23" spans="1:4" ht="27" customHeight="1"/>
    <row r="25" spans="1:4" ht="27" customHeight="1"/>
    <row r="26" spans="1:4" ht="72" customHeight="1">
      <c r="C26" s="151" t="s">
        <v>890</v>
      </c>
      <c r="D26" s="13"/>
    </row>
    <row r="27" spans="1:4" ht="18">
      <c r="A27" s="22"/>
    </row>
    <row r="28" spans="1:4" ht="18">
      <c r="A28" s="22" t="s">
        <v>891</v>
      </c>
    </row>
    <row r="30" spans="1:4" ht="18">
      <c r="A30" s="22" t="s">
        <v>892</v>
      </c>
    </row>
    <row r="31" spans="1:4" ht="32.1" customHeight="1">
      <c r="A31" s="216" t="s">
        <v>893</v>
      </c>
      <c r="B31" s="216"/>
      <c r="C31" s="216"/>
      <c r="D31" s="216"/>
    </row>
    <row r="32" spans="1:4">
      <c r="A32" s="57"/>
      <c r="B32" s="57"/>
      <c r="C32" s="57"/>
      <c r="D32" s="57"/>
    </row>
    <row r="45" spans="4:4">
      <c r="D45" s="59" t="s">
        <v>894</v>
      </c>
    </row>
    <row r="46" spans="4:4" ht="114" customHeight="1">
      <c r="D46" s="3"/>
    </row>
    <row r="51" spans="1:4" ht="18">
      <c r="A51" s="223" t="s">
        <v>895</v>
      </c>
      <c r="B51" s="223"/>
      <c r="C51" s="223"/>
      <c r="D51" s="223"/>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zoomScaleNormal="100" zoomScalePageLayoutView="110" workbookViewId="0">
      <selection activeCell="C9" sqref="C9"/>
    </sheetView>
  </sheetViews>
  <sheetFormatPr defaultColWidth="11" defaultRowHeight="15.75"/>
  <cols>
    <col min="1" max="1" width="53" style="2" customWidth="1"/>
    <col min="2" max="2" width="21.875" style="2" customWidth="1"/>
    <col min="3" max="3" width="21.5" style="2" customWidth="1"/>
    <col min="4" max="4" width="11" style="2"/>
    <col min="5" max="5" width="38.5" style="2" customWidth="1"/>
    <col min="6" max="6" width="10.875" style="2" customWidth="1"/>
    <col min="7" max="7" width="31" style="2" customWidth="1"/>
    <col min="8" max="8" width="21" style="2" customWidth="1"/>
    <col min="9" max="9" width="10.875" style="2" customWidth="1"/>
    <col min="10" max="10" width="19" style="2" customWidth="1"/>
    <col min="11" max="18" width="10.875" style="2" customWidth="1"/>
    <col min="19" max="16384" width="11" style="2"/>
  </cols>
  <sheetData>
    <row r="1" spans="1:5" ht="18">
      <c r="A1" s="274" t="s">
        <v>896</v>
      </c>
      <c r="B1" s="274"/>
      <c r="C1" s="274"/>
      <c r="D1" s="274"/>
      <c r="E1" s="22"/>
    </row>
    <row r="3" spans="1:5" ht="18">
      <c r="A3" s="22" t="s">
        <v>897</v>
      </c>
    </row>
    <row r="5" spans="1:5">
      <c r="A5" s="216" t="s">
        <v>898</v>
      </c>
      <c r="B5" s="216"/>
      <c r="C5" s="216"/>
      <c r="D5" s="216"/>
    </row>
    <row r="6" spans="1:5">
      <c r="A6" s="216"/>
      <c r="B6" s="216"/>
      <c r="C6" s="216"/>
      <c r="D6" s="216"/>
    </row>
    <row r="8" spans="1:5" ht="31.5">
      <c r="B8" s="64" t="s">
        <v>899</v>
      </c>
      <c r="C8" s="92" t="s">
        <v>900</v>
      </c>
    </row>
    <row r="9" spans="1:5" ht="33.75" customHeight="1">
      <c r="A9" s="149" t="s">
        <v>901</v>
      </c>
      <c r="B9" s="35">
        <v>0.14000000000000001</v>
      </c>
      <c r="C9" s="35">
        <v>0.15</v>
      </c>
    </row>
    <row r="10" spans="1:5" ht="33.75" customHeight="1">
      <c r="A10" s="148" t="s">
        <v>902</v>
      </c>
      <c r="B10" s="35"/>
      <c r="C10" s="35">
        <v>0.21</v>
      </c>
    </row>
    <row r="11" spans="1:5" ht="33.75" customHeight="1">
      <c r="A11" s="148" t="s">
        <v>903</v>
      </c>
      <c r="B11" s="35"/>
      <c r="C11" s="35">
        <v>0.27</v>
      </c>
    </row>
    <row r="12" spans="1:5" ht="33.75" customHeight="1">
      <c r="A12" s="149" t="s">
        <v>904</v>
      </c>
      <c r="B12" s="35">
        <v>0.99</v>
      </c>
      <c r="C12" s="35">
        <v>0.5</v>
      </c>
    </row>
    <row r="13" spans="1:5" ht="33.75" customHeight="1">
      <c r="A13" s="148" t="s">
        <v>905</v>
      </c>
      <c r="B13" s="35">
        <v>0.01</v>
      </c>
      <c r="C13" s="35">
        <v>0.5</v>
      </c>
    </row>
    <row r="14" spans="1:5" ht="33.75" customHeight="1">
      <c r="A14" s="148" t="s">
        <v>906</v>
      </c>
      <c r="B14" s="35">
        <v>0</v>
      </c>
      <c r="C14" s="35">
        <v>0.01</v>
      </c>
    </row>
    <row r="15" spans="1:5" ht="33.75" customHeight="1">
      <c r="A15" s="148" t="s">
        <v>907</v>
      </c>
      <c r="B15" s="9"/>
      <c r="C15" s="9">
        <v>21</v>
      </c>
    </row>
    <row r="16" spans="1:5" ht="33.75" customHeight="1">
      <c r="A16" s="148" t="s">
        <v>908</v>
      </c>
      <c r="B16" s="9"/>
      <c r="C16" s="9">
        <v>21</v>
      </c>
    </row>
    <row r="24" spans="1:1" ht="18">
      <c r="A24" s="22" t="s">
        <v>909</v>
      </c>
    </row>
    <row r="25" spans="1:1">
      <c r="A25" s="2" t="s">
        <v>910</v>
      </c>
    </row>
    <row r="41" spans="1:1" ht="18">
      <c r="A41" s="22" t="s">
        <v>911</v>
      </c>
    </row>
    <row r="43" spans="1:1">
      <c r="A43" s="2" t="s">
        <v>912</v>
      </c>
    </row>
    <row r="45" spans="1:1">
      <c r="A45" s="59" t="s">
        <v>913</v>
      </c>
    </row>
    <row r="46" spans="1:1">
      <c r="A46" s="3"/>
    </row>
    <row r="48" spans="1:1">
      <c r="A48" s="2" t="s">
        <v>914</v>
      </c>
    </row>
    <row r="50" spans="1:1">
      <c r="A50" s="59" t="s">
        <v>913</v>
      </c>
    </row>
    <row r="51" spans="1:1">
      <c r="A51" s="3"/>
    </row>
    <row r="53" spans="1:1">
      <c r="A53" s="2" t="s">
        <v>915</v>
      </c>
    </row>
    <row r="55" spans="1:1">
      <c r="A55" s="59" t="s">
        <v>913</v>
      </c>
    </row>
    <row r="56" spans="1:1">
      <c r="A56" s="3"/>
    </row>
    <row r="57" spans="1:1" ht="18">
      <c r="A57" s="22" t="s">
        <v>916</v>
      </c>
    </row>
    <row r="58" spans="1:1">
      <c r="A58" s="2" t="s">
        <v>917</v>
      </c>
    </row>
    <row r="74" spans="1:1">
      <c r="A74" s="2" t="s">
        <v>918</v>
      </c>
    </row>
    <row r="75" spans="1:1" ht="48" customHeight="1">
      <c r="A75" s="3"/>
    </row>
    <row r="84" spans="1:4" ht="18">
      <c r="A84" s="274" t="s">
        <v>919</v>
      </c>
      <c r="B84" s="274"/>
      <c r="C84" s="274"/>
      <c r="D84" s="274"/>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1BAA-3054-49A2-BFCF-00A33BE384E4}">
  <dimension ref="A1:F79"/>
  <sheetViews>
    <sheetView showGridLines="0" showRuler="0" zoomScaleNormal="100" zoomScalePageLayoutView="110" workbookViewId="0">
      <selection sqref="A1:F1"/>
    </sheetView>
  </sheetViews>
  <sheetFormatPr defaultColWidth="11" defaultRowHeight="15.75"/>
  <cols>
    <col min="1" max="1" width="11" style="2"/>
    <col min="2" max="2" width="38.375" style="2" customWidth="1"/>
    <col min="3" max="5" width="18.125" style="2" customWidth="1"/>
    <col min="6" max="6" width="11" style="2"/>
    <col min="7" max="23" width="10.875" style="2" customWidth="1"/>
    <col min="24" max="16384" width="11" style="2"/>
  </cols>
  <sheetData>
    <row r="1" spans="1:6" ht="18">
      <c r="A1" s="223" t="s">
        <v>920</v>
      </c>
      <c r="B1" s="223"/>
      <c r="C1" s="223"/>
      <c r="D1" s="223"/>
      <c r="E1" s="223"/>
      <c r="F1" s="223"/>
    </row>
    <row r="3" spans="1:6" ht="18">
      <c r="A3" s="22" t="s">
        <v>921</v>
      </c>
    </row>
    <row r="4" spans="1:6">
      <c r="A4" s="2" t="s">
        <v>922</v>
      </c>
    </row>
    <row r="5" spans="1:6" ht="18.95" customHeight="1">
      <c r="B5" s="196" t="s">
        <v>1393</v>
      </c>
    </row>
    <row r="7" spans="1:6" ht="86.1" customHeight="1">
      <c r="A7" s="276" t="s">
        <v>1361</v>
      </c>
      <c r="B7" s="276"/>
      <c r="C7" s="276"/>
      <c r="D7" s="276"/>
      <c r="E7" s="276"/>
      <c r="F7" s="276"/>
    </row>
    <row r="9" spans="1:6">
      <c r="B9" s="2" t="s">
        <v>923</v>
      </c>
      <c r="C9" s="5" t="s">
        <v>18</v>
      </c>
    </row>
    <row r="11" spans="1:6">
      <c r="C11" s="152"/>
      <c r="D11" s="87" t="s">
        <v>924</v>
      </c>
      <c r="E11" s="6"/>
    </row>
    <row r="14" spans="1:6" ht="18">
      <c r="A14" s="22" t="s">
        <v>925</v>
      </c>
    </row>
    <row r="16" spans="1:6" ht="42.95" customHeight="1">
      <c r="A16" s="277" t="s">
        <v>1362</v>
      </c>
      <c r="B16" s="277"/>
      <c r="C16" s="277"/>
      <c r="D16" s="277"/>
      <c r="E16" s="277"/>
      <c r="F16" s="277"/>
    </row>
    <row r="17" spans="1:6" ht="36.950000000000003" customHeight="1">
      <c r="A17" s="275" t="s">
        <v>926</v>
      </c>
      <c r="B17" s="275"/>
      <c r="C17" s="275"/>
      <c r="D17" s="275"/>
      <c r="E17" s="275"/>
      <c r="F17" s="275"/>
    </row>
    <row r="18" spans="1:6">
      <c r="A18" s="278" t="s">
        <v>927</v>
      </c>
      <c r="B18" s="278"/>
      <c r="C18" s="278"/>
      <c r="D18" s="278"/>
      <c r="E18" s="278"/>
      <c r="F18" s="278"/>
    </row>
    <row r="19" spans="1:6" ht="36.950000000000003" customHeight="1">
      <c r="A19" s="275" t="s">
        <v>928</v>
      </c>
      <c r="B19" s="275"/>
      <c r="C19" s="275"/>
      <c r="D19" s="275"/>
      <c r="E19" s="275"/>
      <c r="F19" s="275"/>
    </row>
    <row r="20" spans="1:6">
      <c r="A20" s="278" t="s">
        <v>929</v>
      </c>
      <c r="B20" s="278"/>
      <c r="C20" s="278"/>
      <c r="D20" s="278"/>
      <c r="E20" s="278"/>
      <c r="F20" s="278"/>
    </row>
    <row r="22" spans="1:6">
      <c r="C22" s="102" t="s">
        <v>930</v>
      </c>
      <c r="D22" s="102" t="s">
        <v>931</v>
      </c>
    </row>
    <row r="23" spans="1:6">
      <c r="B23" s="153" t="s">
        <v>932</v>
      </c>
      <c r="C23" s="153"/>
      <c r="D23" s="153"/>
    </row>
    <row r="24" spans="1:6">
      <c r="B24" s="87" t="s">
        <v>933</v>
      </c>
      <c r="C24" s="36"/>
      <c r="D24" s="36" t="s">
        <v>1394</v>
      </c>
    </row>
    <row r="25" spans="1:6">
      <c r="B25" s="153" t="s">
        <v>934</v>
      </c>
      <c r="C25" s="154"/>
      <c r="D25" s="154"/>
    </row>
    <row r="26" spans="1:6">
      <c r="B26" s="87" t="s">
        <v>935</v>
      </c>
      <c r="C26" s="36">
        <v>12712</v>
      </c>
      <c r="D26" s="36">
        <v>12712</v>
      </c>
    </row>
    <row r="27" spans="1:6">
      <c r="B27" s="87" t="s">
        <v>936</v>
      </c>
      <c r="C27" s="36">
        <v>12712</v>
      </c>
      <c r="D27" s="36">
        <v>12712</v>
      </c>
    </row>
    <row r="28" spans="1:6">
      <c r="B28" s="87" t="s">
        <v>937</v>
      </c>
      <c r="C28" s="36">
        <v>31832</v>
      </c>
      <c r="D28" s="36">
        <v>31208</v>
      </c>
    </row>
    <row r="29" spans="1:6">
      <c r="B29" s="87" t="s">
        <v>938</v>
      </c>
      <c r="C29" s="36">
        <v>32780</v>
      </c>
      <c r="D29" s="36">
        <v>32138</v>
      </c>
    </row>
    <row r="30" spans="1:6">
      <c r="B30" s="153" t="s">
        <v>939</v>
      </c>
      <c r="C30" s="154"/>
      <c r="D30" s="154"/>
    </row>
    <row r="31" spans="1:6">
      <c r="B31" s="87" t="s">
        <v>940</v>
      </c>
      <c r="C31" s="36">
        <v>4928</v>
      </c>
      <c r="D31" s="36">
        <v>4860</v>
      </c>
    </row>
    <row r="32" spans="1:6">
      <c r="B32" s="87" t="s">
        <v>941</v>
      </c>
      <c r="C32" s="36">
        <v>14460</v>
      </c>
      <c r="D32" s="36">
        <v>13772</v>
      </c>
    </row>
    <row r="33" spans="1:6">
      <c r="B33" s="87" t="s">
        <v>942</v>
      </c>
      <c r="C33" s="36">
        <v>7708</v>
      </c>
      <c r="D33" s="36">
        <v>7342</v>
      </c>
    </row>
    <row r="34" spans="1:6">
      <c r="B34" s="87" t="s">
        <v>943</v>
      </c>
      <c r="C34" s="36">
        <v>6752</v>
      </c>
      <c r="D34" s="36">
        <v>6430</v>
      </c>
    </row>
    <row r="36" spans="1:6" ht="38.1" customHeight="1">
      <c r="A36" s="216" t="s">
        <v>944</v>
      </c>
      <c r="B36" s="216"/>
      <c r="C36" s="216"/>
      <c r="D36" s="216"/>
      <c r="E36" s="37" t="s">
        <v>1394</v>
      </c>
      <c r="F36" s="57"/>
    </row>
    <row r="37" spans="1:6">
      <c r="A37" s="56"/>
      <c r="B37" s="56"/>
      <c r="C37" s="56"/>
      <c r="D37" s="56"/>
      <c r="E37" s="155"/>
      <c r="F37" s="57"/>
    </row>
    <row r="38" spans="1:6">
      <c r="A38" s="216" t="s">
        <v>945</v>
      </c>
      <c r="B38" s="216"/>
      <c r="C38" s="216"/>
      <c r="D38" s="56"/>
      <c r="E38" s="155"/>
      <c r="F38" s="57"/>
    </row>
    <row r="39" spans="1:6" ht="66.95" customHeight="1">
      <c r="A39" s="56"/>
      <c r="B39" s="3"/>
      <c r="C39" s="56"/>
      <c r="D39" s="56"/>
      <c r="E39" s="155"/>
      <c r="F39" s="57"/>
    </row>
    <row r="40" spans="1:6">
      <c r="A40" s="56"/>
      <c r="B40" s="56"/>
      <c r="C40" s="56"/>
      <c r="D40" s="56"/>
      <c r="E40" s="155"/>
      <c r="F40" s="57"/>
    </row>
    <row r="41" spans="1:6" ht="18">
      <c r="A41" s="22" t="s">
        <v>946</v>
      </c>
    </row>
    <row r="42" spans="1:6">
      <c r="A42" s="2" t="s">
        <v>947</v>
      </c>
    </row>
    <row r="44" spans="1:6">
      <c r="B44" s="87" t="s">
        <v>948</v>
      </c>
      <c r="C44" s="33">
        <v>12</v>
      </c>
    </row>
    <row r="45" spans="1:6">
      <c r="B45" s="87" t="s">
        <v>949</v>
      </c>
      <c r="C45" s="33">
        <v>18</v>
      </c>
    </row>
    <row r="47" spans="1:6" ht="18">
      <c r="A47" s="22" t="s">
        <v>950</v>
      </c>
    </row>
    <row r="48" spans="1:6">
      <c r="A48" s="2" t="s">
        <v>951</v>
      </c>
      <c r="D48" s="4" t="s">
        <v>5</v>
      </c>
    </row>
    <row r="50" spans="1:5" ht="18">
      <c r="A50" s="22" t="s">
        <v>952</v>
      </c>
    </row>
    <row r="51" spans="1:5">
      <c r="A51" s="2" t="s">
        <v>953</v>
      </c>
      <c r="E51" s="4" t="s">
        <v>5</v>
      </c>
    </row>
    <row r="53" spans="1:5">
      <c r="A53" s="59" t="s">
        <v>954</v>
      </c>
      <c r="E53" s="35">
        <v>0.66590000000000005</v>
      </c>
    </row>
    <row r="55" spans="1:5" ht="18">
      <c r="A55" s="22" t="s">
        <v>955</v>
      </c>
    </row>
    <row r="56" spans="1:5">
      <c r="A56" s="2" t="s">
        <v>956</v>
      </c>
    </row>
    <row r="58" spans="1:5" ht="39" customHeight="1">
      <c r="C58" s="72" t="s">
        <v>957</v>
      </c>
      <c r="D58" s="72" t="s">
        <v>958</v>
      </c>
      <c r="E58" s="72" t="s">
        <v>959</v>
      </c>
    </row>
    <row r="59" spans="1:5">
      <c r="B59" s="21" t="s">
        <v>960</v>
      </c>
      <c r="C59" s="36">
        <v>1200</v>
      </c>
      <c r="D59" s="36">
        <v>1200</v>
      </c>
      <c r="E59" s="36">
        <v>1200</v>
      </c>
    </row>
    <row r="60" spans="1:5">
      <c r="B60" s="21" t="s">
        <v>961</v>
      </c>
      <c r="C60" s="156"/>
      <c r="D60" s="156"/>
      <c r="E60" s="36" t="s">
        <v>1394</v>
      </c>
    </row>
    <row r="61" spans="1:5">
      <c r="B61" s="21" t="s">
        <v>962</v>
      </c>
      <c r="C61" s="156"/>
      <c r="D61" s="36" t="s">
        <v>1394</v>
      </c>
      <c r="E61" s="36" t="s">
        <v>1394</v>
      </c>
    </row>
    <row r="62" spans="1:5">
      <c r="B62" s="21" t="s">
        <v>963</v>
      </c>
      <c r="C62" s="156"/>
      <c r="D62" s="156"/>
      <c r="E62" s="36">
        <v>14522</v>
      </c>
    </row>
    <row r="63" spans="1:5">
      <c r="B63" s="21" t="s">
        <v>964</v>
      </c>
      <c r="C63" s="36">
        <v>500</v>
      </c>
      <c r="D63" s="36">
        <v>500</v>
      </c>
      <c r="E63" s="36">
        <v>500</v>
      </c>
    </row>
    <row r="64" spans="1:5">
      <c r="B64" s="21" t="s">
        <v>965</v>
      </c>
      <c r="C64" s="36">
        <v>2000</v>
      </c>
      <c r="D64" s="36">
        <v>2000</v>
      </c>
      <c r="E64" s="36">
        <v>2000</v>
      </c>
    </row>
    <row r="66" spans="1:6">
      <c r="A66" s="280" t="s">
        <v>966</v>
      </c>
      <c r="B66" s="280"/>
      <c r="C66" s="280"/>
      <c r="D66" s="280"/>
      <c r="E66" s="280"/>
      <c r="F66" s="280"/>
    </row>
    <row r="68" spans="1:6" ht="18">
      <c r="A68" s="22" t="s">
        <v>967</v>
      </c>
    </row>
    <row r="69" spans="1:6">
      <c r="A69" s="2" t="s">
        <v>968</v>
      </c>
    </row>
    <row r="71" spans="1:6">
      <c r="B71" s="157" t="s">
        <v>969</v>
      </c>
      <c r="C71" s="153"/>
    </row>
    <row r="72" spans="1:6">
      <c r="B72" s="272" t="s">
        <v>970</v>
      </c>
      <c r="C72" s="272"/>
      <c r="D72" s="36" t="s">
        <v>1394</v>
      </c>
    </row>
    <row r="73" spans="1:6">
      <c r="B73" s="157" t="s">
        <v>971</v>
      </c>
      <c r="C73" s="157"/>
      <c r="D73" s="78"/>
    </row>
    <row r="74" spans="1:6">
      <c r="B74" s="272" t="s">
        <v>972</v>
      </c>
      <c r="C74" s="272"/>
      <c r="D74" s="36" t="s">
        <v>1394</v>
      </c>
    </row>
    <row r="75" spans="1:6">
      <c r="B75" s="272" t="s">
        <v>973</v>
      </c>
      <c r="C75" s="272"/>
      <c r="D75" s="36" t="s">
        <v>1394</v>
      </c>
    </row>
    <row r="76" spans="1:6">
      <c r="B76" s="272" t="s">
        <v>974</v>
      </c>
      <c r="C76" s="272"/>
      <c r="D76" s="36" t="s">
        <v>1394</v>
      </c>
    </row>
    <row r="77" spans="1:6">
      <c r="A77" s="272" t="s">
        <v>975</v>
      </c>
      <c r="B77" s="272"/>
      <c r="C77" s="279"/>
      <c r="D77" s="36" t="s">
        <v>1394</v>
      </c>
    </row>
    <row r="79" spans="1:6" ht="18">
      <c r="A79" s="223" t="s">
        <v>976</v>
      </c>
      <c r="B79" s="223"/>
      <c r="C79" s="223"/>
      <c r="D79" s="223"/>
      <c r="E79" s="223"/>
      <c r="F79" s="223"/>
    </row>
  </sheetData>
  <sheetProtection formatColumns="0" formatRows="0" selectLockedCells="1"/>
  <mergeCells count="16">
    <mergeCell ref="B75:C75"/>
    <mergeCell ref="B76:C76"/>
    <mergeCell ref="A77:C77"/>
    <mergeCell ref="A79:F79"/>
    <mergeCell ref="A20:F20"/>
    <mergeCell ref="A36:D36"/>
    <mergeCell ref="A38:C38"/>
    <mergeCell ref="A66:F66"/>
    <mergeCell ref="B72:C72"/>
    <mergeCell ref="B74:C74"/>
    <mergeCell ref="A19:F19"/>
    <mergeCell ref="A1:F1"/>
    <mergeCell ref="A7:F7"/>
    <mergeCell ref="A16:F16"/>
    <mergeCell ref="A17:F17"/>
    <mergeCell ref="A18:F18"/>
  </mergeCells>
  <hyperlinks>
    <hyperlink ref="B5" r:id="rId1" xr:uid="{7DDD3CAF-CE9A-4036-9055-7423FE5B5CF6}"/>
  </hyperlinks>
  <pageMargins left="0.7" right="0.7" top="0.75" bottom="0.75" header="0.3" footer="0.3"/>
  <pageSetup orientation="landscape" r:id="rId2"/>
  <headerFooter>
    <oddHeader xml:space="preserve">&amp;C  
</oddHeader>
    <oddFooter xml:space="preserve">&amp;C   </oddFooter>
  </headerFooter>
  <rowBreaks count="1" manualBreakCount="1">
    <brk id="2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3009" r:id="rId5"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4AFA-8CA6-4B7A-A7FA-9A5053E4006A}">
  <dimension ref="A1:J254"/>
  <sheetViews>
    <sheetView showGridLines="0" showRuler="0" zoomScaleNormal="100" zoomScalePageLayoutView="110" workbookViewId="0">
      <selection sqref="A1:E1"/>
    </sheetView>
  </sheetViews>
  <sheetFormatPr defaultColWidth="10.625" defaultRowHeight="15.75"/>
  <cols>
    <col min="1" max="1" width="17.625" style="2" customWidth="1"/>
    <col min="2" max="2" width="43.625" style="2" customWidth="1"/>
    <col min="3" max="3" width="18.625" style="2" customWidth="1"/>
    <col min="4" max="4" width="18.5" style="2" customWidth="1"/>
    <col min="5" max="5" width="16.125" style="2" customWidth="1"/>
    <col min="6" max="6" width="14.375" style="2" customWidth="1"/>
    <col min="7" max="7" width="25.375" style="2" customWidth="1"/>
    <col min="8" max="24" width="10.625" style="2" customWidth="1"/>
    <col min="25" max="16384" width="10.625" style="2"/>
  </cols>
  <sheetData>
    <row r="1" spans="1:6" ht="18">
      <c r="A1" s="223" t="s">
        <v>977</v>
      </c>
      <c r="B1" s="223"/>
      <c r="C1" s="223"/>
      <c r="D1" s="223"/>
      <c r="E1" s="223"/>
      <c r="F1" s="22"/>
    </row>
    <row r="2" spans="1:6" ht="409.5" customHeight="1">
      <c r="A2" s="216" t="s">
        <v>978</v>
      </c>
      <c r="B2" s="216"/>
      <c r="C2" s="216"/>
      <c r="D2" s="216"/>
      <c r="E2" s="216"/>
      <c r="F2" s="57"/>
    </row>
    <row r="3" spans="1:6">
      <c r="A3" s="216"/>
      <c r="B3" s="216"/>
      <c r="C3" s="216"/>
      <c r="D3" s="216"/>
      <c r="E3" s="216"/>
      <c r="F3" s="57"/>
    </row>
    <row r="4" spans="1:6">
      <c r="A4" s="216"/>
      <c r="B4" s="216"/>
      <c r="C4" s="216"/>
      <c r="D4" s="216"/>
      <c r="E4" s="216"/>
      <c r="F4" s="57"/>
    </row>
    <row r="5" spans="1:6">
      <c r="A5" s="216"/>
      <c r="B5" s="216"/>
      <c r="C5" s="216"/>
      <c r="D5" s="216"/>
      <c r="E5" s="216"/>
      <c r="F5" s="57"/>
    </row>
    <row r="6" spans="1:6">
      <c r="A6" s="216"/>
      <c r="B6" s="216"/>
      <c r="C6" s="216"/>
      <c r="D6" s="216"/>
      <c r="E6" s="216"/>
      <c r="F6" s="57"/>
    </row>
    <row r="7" spans="1:6">
      <c r="A7" s="216"/>
      <c r="B7" s="216"/>
      <c r="C7" s="216"/>
      <c r="D7" s="216"/>
      <c r="E7" s="216"/>
      <c r="F7" s="57"/>
    </row>
    <row r="8" spans="1:6">
      <c r="A8" s="216"/>
      <c r="B8" s="216"/>
      <c r="C8" s="216"/>
      <c r="D8" s="216"/>
      <c r="E8" s="216"/>
      <c r="F8" s="57"/>
    </row>
    <row r="9" spans="1:6" ht="15.95" customHeight="1">
      <c r="A9" s="252" t="s">
        <v>979</v>
      </c>
      <c r="B9" s="252"/>
      <c r="C9" s="252"/>
      <c r="D9" s="252"/>
      <c r="E9" s="252"/>
      <c r="F9" s="158"/>
    </row>
    <row r="10" spans="1:6">
      <c r="A10" s="252"/>
      <c r="B10" s="252"/>
      <c r="C10" s="252"/>
      <c r="D10" s="252"/>
      <c r="E10" s="252"/>
      <c r="F10" s="158"/>
    </row>
    <row r="11" spans="1:6">
      <c r="A11" s="252"/>
      <c r="B11" s="252"/>
      <c r="C11" s="252"/>
      <c r="D11" s="252"/>
      <c r="E11" s="252"/>
      <c r="F11" s="158"/>
    </row>
    <row r="12" spans="1:6">
      <c r="A12" s="252"/>
      <c r="B12" s="252"/>
      <c r="C12" s="252"/>
      <c r="D12" s="252"/>
      <c r="E12" s="252"/>
      <c r="F12" s="158"/>
    </row>
    <row r="13" spans="1:6">
      <c r="A13" s="252"/>
      <c r="B13" s="252"/>
      <c r="C13" s="252"/>
      <c r="D13" s="252"/>
      <c r="E13" s="252"/>
      <c r="F13" s="158"/>
    </row>
    <row r="14" spans="1:6">
      <c r="A14" s="252"/>
      <c r="B14" s="252"/>
      <c r="C14" s="252"/>
      <c r="D14" s="252"/>
      <c r="E14" s="252"/>
      <c r="F14" s="158"/>
    </row>
    <row r="15" spans="1:6">
      <c r="A15" s="252"/>
      <c r="B15" s="252"/>
      <c r="C15" s="252"/>
      <c r="D15" s="252"/>
      <c r="E15" s="252"/>
      <c r="F15" s="158"/>
    </row>
    <row r="16" spans="1:6">
      <c r="A16" s="252"/>
      <c r="B16" s="252"/>
      <c r="C16" s="252"/>
      <c r="D16" s="252"/>
      <c r="E16" s="252"/>
      <c r="F16" s="158"/>
    </row>
    <row r="17" spans="1:10">
      <c r="A17" s="252"/>
      <c r="B17" s="252"/>
      <c r="C17" s="252"/>
      <c r="D17" s="252"/>
      <c r="E17" s="252"/>
      <c r="F17" s="158"/>
    </row>
    <row r="18" spans="1:10">
      <c r="A18" s="252"/>
      <c r="B18" s="252"/>
      <c r="C18" s="252"/>
      <c r="D18" s="252"/>
      <c r="E18" s="252"/>
      <c r="F18" s="158"/>
    </row>
    <row r="19" spans="1:10">
      <c r="A19" s="252"/>
      <c r="B19" s="252"/>
      <c r="C19" s="252"/>
      <c r="D19" s="252"/>
      <c r="E19" s="252"/>
      <c r="F19" s="158"/>
    </row>
    <row r="20" spans="1:10">
      <c r="A20" s="252"/>
      <c r="B20" s="252"/>
      <c r="C20" s="252"/>
      <c r="D20" s="252"/>
      <c r="E20" s="252"/>
      <c r="F20" s="158"/>
    </row>
    <row r="21" spans="1:10">
      <c r="A21" s="252"/>
      <c r="B21" s="252"/>
      <c r="C21" s="252"/>
      <c r="D21" s="252"/>
      <c r="E21" s="252"/>
      <c r="F21" s="158"/>
    </row>
    <row r="22" spans="1:10">
      <c r="A22" s="252"/>
      <c r="B22" s="252"/>
      <c r="C22" s="252"/>
      <c r="D22" s="252"/>
      <c r="E22" s="252"/>
      <c r="F22" s="158"/>
    </row>
    <row r="23" spans="1:10">
      <c r="A23" s="252"/>
      <c r="B23" s="252"/>
      <c r="C23" s="252"/>
      <c r="D23" s="252"/>
      <c r="E23" s="252"/>
      <c r="F23" s="158"/>
    </row>
    <row r="24" spans="1:10">
      <c r="A24" s="252"/>
      <c r="B24" s="252"/>
      <c r="C24" s="252"/>
      <c r="D24" s="252"/>
      <c r="E24" s="252"/>
      <c r="F24" s="158"/>
    </row>
    <row r="25" spans="1:10">
      <c r="A25" s="252"/>
      <c r="B25" s="252"/>
      <c r="C25" s="252"/>
      <c r="D25" s="252"/>
      <c r="E25" s="252"/>
      <c r="F25" s="158"/>
    </row>
    <row r="26" spans="1:10">
      <c r="A26" s="252"/>
      <c r="B26" s="252"/>
      <c r="C26" s="252"/>
      <c r="D26" s="252"/>
      <c r="E26" s="252"/>
      <c r="F26" s="158"/>
    </row>
    <row r="27" spans="1:10">
      <c r="A27" s="252"/>
      <c r="B27" s="252"/>
      <c r="C27" s="252"/>
      <c r="D27" s="252"/>
      <c r="E27" s="252"/>
      <c r="F27" s="158"/>
    </row>
    <row r="28" spans="1:10">
      <c r="A28" s="252"/>
      <c r="B28" s="252"/>
      <c r="C28" s="252"/>
      <c r="D28" s="252"/>
      <c r="E28" s="252"/>
      <c r="F28" s="158"/>
    </row>
    <row r="29" spans="1:10">
      <c r="A29" s="158"/>
      <c r="B29" s="158"/>
      <c r="C29" s="158"/>
      <c r="D29" s="158"/>
      <c r="E29" s="158"/>
      <c r="F29" s="158"/>
    </row>
    <row r="30" spans="1:10" ht="18">
      <c r="A30" s="22" t="s">
        <v>980</v>
      </c>
      <c r="B30" s="22"/>
      <c r="C30" s="158"/>
      <c r="D30" s="158"/>
      <c r="E30" s="158"/>
      <c r="F30" s="159"/>
      <c r="G30" s="159"/>
      <c r="H30" s="159"/>
      <c r="I30" s="159"/>
      <c r="J30" s="159"/>
    </row>
    <row r="31" spans="1:10" ht="18.95" customHeight="1">
      <c r="A31" s="216" t="s">
        <v>981</v>
      </c>
      <c r="B31" s="216"/>
      <c r="C31" s="216"/>
      <c r="D31" s="216"/>
      <c r="E31" s="216"/>
      <c r="F31" s="159"/>
      <c r="G31" s="159"/>
      <c r="H31" s="159"/>
      <c r="I31" s="159"/>
      <c r="J31" s="159"/>
    </row>
    <row r="32" spans="1:10" ht="18.95" customHeight="1">
      <c r="A32" s="216"/>
      <c r="B32" s="216"/>
      <c r="C32" s="216"/>
      <c r="D32" s="216"/>
      <c r="E32" s="216"/>
      <c r="F32" s="159"/>
      <c r="G32" s="159"/>
      <c r="H32" s="159"/>
      <c r="I32" s="159"/>
      <c r="J32" s="159"/>
    </row>
    <row r="33" spans="1:10" ht="18.95" customHeight="1">
      <c r="A33" s="282" t="s">
        <v>982</v>
      </c>
      <c r="B33" s="282"/>
      <c r="C33" s="282"/>
      <c r="D33" s="282"/>
      <c r="E33" s="282"/>
      <c r="F33" s="159"/>
      <c r="G33" s="159"/>
      <c r="H33" s="159"/>
      <c r="I33" s="159"/>
      <c r="J33" s="159"/>
    </row>
    <row r="34" spans="1:10">
      <c r="A34" s="282"/>
      <c r="B34" s="282"/>
      <c r="C34" s="282"/>
      <c r="D34" s="282"/>
      <c r="E34" s="282"/>
      <c r="F34" s="159"/>
      <c r="G34" s="159"/>
      <c r="H34" s="159"/>
      <c r="I34" s="159"/>
      <c r="J34" s="159"/>
    </row>
    <row r="35" spans="1:10" ht="18.95" customHeight="1">
      <c r="A35" s="281" t="s">
        <v>983</v>
      </c>
      <c r="B35" s="281"/>
      <c r="C35" s="281"/>
      <c r="D35" s="281"/>
      <c r="E35" s="281"/>
      <c r="F35" s="158"/>
    </row>
    <row r="36" spans="1:10" ht="18.95" customHeight="1">
      <c r="A36" s="281" t="s">
        <v>984</v>
      </c>
      <c r="B36" s="281"/>
      <c r="C36" s="281"/>
      <c r="D36" s="281"/>
      <c r="E36" s="281"/>
      <c r="F36" s="158"/>
    </row>
    <row r="37" spans="1:10" ht="15.95" customHeight="1">
      <c r="A37" s="281" t="s">
        <v>985</v>
      </c>
      <c r="B37" s="281"/>
      <c r="C37" s="281"/>
      <c r="D37" s="281"/>
      <c r="E37" s="281"/>
      <c r="F37" s="158"/>
    </row>
    <row r="38" spans="1:10">
      <c r="A38" s="281"/>
      <c r="B38" s="281"/>
      <c r="C38" s="281"/>
      <c r="D38" s="281"/>
      <c r="E38" s="281"/>
      <c r="F38" s="158"/>
    </row>
    <row r="39" spans="1:10">
      <c r="A39" s="160"/>
      <c r="B39" s="160"/>
      <c r="C39" s="160"/>
      <c r="D39" s="160"/>
      <c r="E39" s="160"/>
      <c r="F39" s="158"/>
    </row>
    <row r="40" spans="1:10">
      <c r="A40" s="284" t="s">
        <v>986</v>
      </c>
      <c r="B40" s="284"/>
      <c r="C40" s="284"/>
      <c r="D40" s="284"/>
      <c r="E40" s="284"/>
    </row>
    <row r="41" spans="1:10">
      <c r="A41" s="136" t="s">
        <v>987</v>
      </c>
    </row>
    <row r="43" spans="1:10">
      <c r="B43" s="1" t="s">
        <v>35</v>
      </c>
    </row>
    <row r="45" spans="1:10">
      <c r="A45" s="2" t="s">
        <v>988</v>
      </c>
    </row>
    <row r="47" spans="1:10">
      <c r="B47" s="1" t="s">
        <v>20</v>
      </c>
    </row>
    <row r="49" spans="1:4" ht="78" customHeight="1">
      <c r="A49" s="285" t="s">
        <v>980</v>
      </c>
      <c r="B49" s="285"/>
      <c r="C49" s="14" t="s">
        <v>989</v>
      </c>
      <c r="D49" s="14" t="s">
        <v>990</v>
      </c>
    </row>
    <row r="50" spans="1:4" ht="15.95" customHeight="1">
      <c r="A50" s="286" t="s">
        <v>991</v>
      </c>
      <c r="B50" s="161" t="s">
        <v>992</v>
      </c>
      <c r="C50" s="39">
        <v>48158959.909999996</v>
      </c>
      <c r="D50" s="214">
        <f>631094.49+896959+101434</f>
        <v>1629487.49</v>
      </c>
    </row>
    <row r="51" spans="1:4" ht="31.5">
      <c r="A51" s="286"/>
      <c r="B51" s="162" t="s">
        <v>993</v>
      </c>
      <c r="C51" s="39">
        <v>65243081.840000004</v>
      </c>
      <c r="D51" s="39">
        <v>1506847.91</v>
      </c>
    </row>
    <row r="52" spans="1:4" ht="84" customHeight="1">
      <c r="A52" s="286"/>
      <c r="B52" s="162" t="s">
        <v>994</v>
      </c>
      <c r="C52" s="39">
        <v>132369603.48999999</v>
      </c>
      <c r="D52" s="39">
        <v>18817854.949999999</v>
      </c>
    </row>
    <row r="53" spans="1:4" ht="47.25">
      <c r="A53" s="286"/>
      <c r="B53" s="162" t="s">
        <v>995</v>
      </c>
      <c r="C53" s="39">
        <v>7994038.4800000004</v>
      </c>
      <c r="D53" s="39">
        <v>3892352.74</v>
      </c>
    </row>
    <row r="54" spans="1:4">
      <c r="A54" s="286"/>
      <c r="B54" s="163" t="s">
        <v>996</v>
      </c>
      <c r="C54" s="164">
        <f>SUM(C50:C53)</f>
        <v>253765683.72</v>
      </c>
      <c r="D54" s="164">
        <f>SUM(D50:D53)</f>
        <v>25846543.089999996</v>
      </c>
    </row>
    <row r="55" spans="1:4" ht="31.5">
      <c r="A55" s="287" t="s">
        <v>997</v>
      </c>
      <c r="B55" s="162" t="s">
        <v>998</v>
      </c>
      <c r="C55" s="36">
        <v>52766601</v>
      </c>
      <c r="D55" s="36">
        <v>22460473</v>
      </c>
    </row>
    <row r="56" spans="1:4">
      <c r="A56" s="287"/>
      <c r="B56" s="161" t="s">
        <v>999</v>
      </c>
      <c r="C56" s="36">
        <v>3673683.03</v>
      </c>
      <c r="D56" s="156"/>
    </row>
    <row r="57" spans="1:4" ht="47.25">
      <c r="A57" s="287"/>
      <c r="B57" s="162" t="s">
        <v>1000</v>
      </c>
      <c r="C57" s="36">
        <v>11972536.26</v>
      </c>
      <c r="D57" s="36">
        <v>13075787.27</v>
      </c>
    </row>
    <row r="58" spans="1:4">
      <c r="A58" s="287"/>
      <c r="B58" s="165" t="s">
        <v>1001</v>
      </c>
      <c r="C58" s="166">
        <f>SUM(C55:C57)</f>
        <v>68412820.290000007</v>
      </c>
      <c r="D58" s="166">
        <f>SUM(D55+D57)</f>
        <v>35536260.269999996</v>
      </c>
    </row>
    <row r="59" spans="1:4">
      <c r="A59" s="287" t="s">
        <v>1002</v>
      </c>
      <c r="B59" s="161" t="s">
        <v>1003</v>
      </c>
      <c r="C59" s="36">
        <v>44304355</v>
      </c>
      <c r="D59" s="36">
        <v>20463798</v>
      </c>
    </row>
    <row r="60" spans="1:4">
      <c r="A60" s="287"/>
      <c r="B60" s="161" t="s">
        <v>1004</v>
      </c>
      <c r="C60" s="36">
        <v>14965616.130000001</v>
      </c>
      <c r="D60" s="36">
        <v>8502307.5299999993</v>
      </c>
    </row>
    <row r="61" spans="1:4">
      <c r="A61" s="287"/>
      <c r="B61" s="161" t="s">
        <v>1005</v>
      </c>
      <c r="C61" s="36">
        <v>4913012.6500000004</v>
      </c>
      <c r="D61" s="36">
        <v>7903513.7699999996</v>
      </c>
    </row>
    <row r="64" spans="1:4" ht="18">
      <c r="A64" s="22" t="s">
        <v>1006</v>
      </c>
    </row>
    <row r="65" spans="1:5">
      <c r="A65" s="216" t="s">
        <v>1007</v>
      </c>
      <c r="B65" s="216"/>
      <c r="C65" s="216"/>
      <c r="D65" s="216"/>
      <c r="E65" s="216"/>
    </row>
    <row r="66" spans="1:5">
      <c r="A66" s="216"/>
      <c r="B66" s="216"/>
      <c r="C66" s="216"/>
      <c r="D66" s="216"/>
      <c r="E66" s="216"/>
    </row>
    <row r="67" spans="1:5">
      <c r="A67" s="288" t="s">
        <v>1008</v>
      </c>
      <c r="B67" s="288"/>
      <c r="C67" s="288"/>
      <c r="D67" s="288"/>
      <c r="E67" s="288"/>
    </row>
    <row r="68" spans="1:5">
      <c r="A68" s="288" t="s">
        <v>1009</v>
      </c>
      <c r="B68" s="288"/>
      <c r="C68" s="288"/>
      <c r="D68" s="288"/>
      <c r="E68" s="288"/>
    </row>
    <row r="69" spans="1:5">
      <c r="A69" s="282" t="s">
        <v>1010</v>
      </c>
      <c r="B69" s="282"/>
      <c r="C69" s="282"/>
      <c r="D69" s="282"/>
      <c r="E69" s="282"/>
    </row>
    <row r="70" spans="1:5">
      <c r="A70" s="282"/>
      <c r="B70" s="282"/>
      <c r="C70" s="282"/>
      <c r="D70" s="282"/>
      <c r="E70" s="282"/>
    </row>
    <row r="71" spans="1:5">
      <c r="A71" s="283" t="s">
        <v>1011</v>
      </c>
      <c r="B71" s="283"/>
      <c r="C71" s="283"/>
      <c r="D71" s="283"/>
      <c r="E71" s="283"/>
    </row>
    <row r="73" spans="1:5" ht="31.5">
      <c r="C73" s="167" t="s">
        <v>1012</v>
      </c>
      <c r="D73" s="167" t="s">
        <v>1013</v>
      </c>
      <c r="E73" s="167" t="s">
        <v>1014</v>
      </c>
    </row>
    <row r="74" spans="1:5" ht="51" customHeight="1">
      <c r="A74" s="99"/>
      <c r="B74" s="93" t="s">
        <v>1015</v>
      </c>
      <c r="C74" s="9">
        <v>7946</v>
      </c>
      <c r="D74" s="9">
        <v>33273</v>
      </c>
      <c r="E74" s="9">
        <v>758</v>
      </c>
    </row>
    <row r="75" spans="1:5" ht="51" customHeight="1">
      <c r="A75" s="99"/>
      <c r="B75" s="93" t="s">
        <v>1016</v>
      </c>
      <c r="C75" s="9">
        <v>6037</v>
      </c>
      <c r="D75" s="9">
        <v>20972</v>
      </c>
      <c r="E75" s="9">
        <v>247</v>
      </c>
    </row>
    <row r="76" spans="1:5" ht="51" customHeight="1">
      <c r="A76" s="99"/>
      <c r="B76" s="93" t="s">
        <v>1017</v>
      </c>
      <c r="C76" s="9">
        <v>3548</v>
      </c>
      <c r="D76" s="9">
        <v>15035</v>
      </c>
      <c r="E76" s="9">
        <v>186</v>
      </c>
    </row>
    <row r="77" spans="1:5" ht="51" customHeight="1">
      <c r="A77" s="99"/>
      <c r="B77" s="93" t="s">
        <v>1018</v>
      </c>
      <c r="C77" s="9">
        <v>3360</v>
      </c>
      <c r="D77" s="9">
        <v>14474</v>
      </c>
      <c r="E77" s="9">
        <v>154</v>
      </c>
    </row>
    <row r="78" spans="1:5" ht="51" customHeight="1">
      <c r="A78" s="99"/>
      <c r="B78" s="93" t="s">
        <v>1019</v>
      </c>
      <c r="C78" s="9">
        <v>3093</v>
      </c>
      <c r="D78" s="9">
        <v>13565</v>
      </c>
      <c r="E78" s="9">
        <v>146</v>
      </c>
    </row>
    <row r="79" spans="1:5" ht="51" customHeight="1">
      <c r="A79" s="99"/>
      <c r="B79" s="93" t="s">
        <v>1020</v>
      </c>
      <c r="C79" s="40">
        <v>2364</v>
      </c>
      <c r="D79" s="40">
        <v>10037</v>
      </c>
      <c r="E79" s="40">
        <v>82</v>
      </c>
    </row>
    <row r="80" spans="1:5" ht="51" customHeight="1">
      <c r="A80" s="99"/>
      <c r="B80" s="93" t="s">
        <v>1021</v>
      </c>
      <c r="C80" s="40">
        <v>940</v>
      </c>
      <c r="D80" s="40">
        <v>2304</v>
      </c>
      <c r="E80" s="40">
        <v>17</v>
      </c>
    </row>
    <row r="81" spans="1:5" ht="51" customHeight="1">
      <c r="A81" s="99"/>
      <c r="B81" s="93" t="s">
        <v>1022</v>
      </c>
      <c r="C81" s="40">
        <v>1170</v>
      </c>
      <c r="D81" s="40">
        <v>3528</v>
      </c>
      <c r="E81" s="40">
        <v>36</v>
      </c>
    </row>
    <row r="82" spans="1:5" ht="113.1" customHeight="1">
      <c r="A82" s="99"/>
      <c r="B82" s="93" t="s">
        <v>1023</v>
      </c>
      <c r="C82" s="31">
        <v>0.77</v>
      </c>
      <c r="D82" s="31">
        <v>0.75</v>
      </c>
      <c r="E82" s="31">
        <v>0.57999999999999996</v>
      </c>
    </row>
    <row r="83" spans="1:5" ht="75.95" customHeight="1">
      <c r="A83" s="99"/>
      <c r="B83" s="93" t="s">
        <v>1024</v>
      </c>
      <c r="C83" s="36">
        <v>22060</v>
      </c>
      <c r="D83" s="36">
        <v>21740</v>
      </c>
      <c r="E83" s="36">
        <v>12415</v>
      </c>
    </row>
    <row r="84" spans="1:5" ht="51" customHeight="1">
      <c r="A84" s="99"/>
      <c r="B84" s="93" t="s">
        <v>1025</v>
      </c>
      <c r="C84" s="36">
        <v>20860</v>
      </c>
      <c r="D84" s="36">
        <v>19995</v>
      </c>
      <c r="E84" s="36">
        <v>11564</v>
      </c>
    </row>
    <row r="85" spans="1:5" ht="51" customHeight="1">
      <c r="A85" s="99"/>
      <c r="B85" s="93" t="s">
        <v>1026</v>
      </c>
      <c r="C85" s="36">
        <v>4197</v>
      </c>
      <c r="D85" s="36">
        <v>4451</v>
      </c>
      <c r="E85" s="36">
        <v>2625</v>
      </c>
    </row>
    <row r="86" spans="1:5" ht="66.95" customHeight="1">
      <c r="A86" s="99"/>
      <c r="B86" s="93" t="s">
        <v>1027</v>
      </c>
      <c r="C86" s="36">
        <v>3606</v>
      </c>
      <c r="D86" s="36">
        <v>3999</v>
      </c>
      <c r="E86" s="36">
        <v>2386</v>
      </c>
    </row>
    <row r="88" spans="1:5" ht="18">
      <c r="A88" s="22" t="s">
        <v>1028</v>
      </c>
    </row>
    <row r="89" spans="1:5">
      <c r="A89" s="216" t="s">
        <v>1029</v>
      </c>
      <c r="B89" s="216"/>
      <c r="C89" s="216"/>
      <c r="D89" s="216"/>
      <c r="E89" s="216"/>
    </row>
    <row r="90" spans="1:5">
      <c r="A90" s="216"/>
      <c r="B90" s="216"/>
      <c r="C90" s="216"/>
      <c r="D90" s="216"/>
      <c r="E90" s="216"/>
    </row>
    <row r="91" spans="1:5">
      <c r="A91" s="288" t="s">
        <v>1030</v>
      </c>
      <c r="B91" s="288"/>
      <c r="C91" s="288"/>
      <c r="D91" s="288"/>
      <c r="E91" s="288"/>
    </row>
    <row r="92" spans="1:5">
      <c r="A92" s="282" t="s">
        <v>1031</v>
      </c>
      <c r="B92" s="282"/>
      <c r="C92" s="282"/>
      <c r="D92" s="282"/>
      <c r="E92" s="282"/>
    </row>
    <row r="93" spans="1:5">
      <c r="A93" s="282"/>
      <c r="B93" s="282"/>
      <c r="C93" s="282"/>
      <c r="D93" s="282"/>
      <c r="E93" s="282"/>
    </row>
    <row r="94" spans="1:5">
      <c r="A94" s="283" t="s">
        <v>1032</v>
      </c>
      <c r="B94" s="283"/>
      <c r="C94" s="283"/>
      <c r="D94" s="283"/>
      <c r="E94" s="283"/>
    </row>
    <row r="97" spans="1:5" ht="31.5">
      <c r="C97" s="167" t="s">
        <v>1012</v>
      </c>
      <c r="D97" s="167" t="s">
        <v>1013</v>
      </c>
      <c r="E97" s="167" t="s">
        <v>1014</v>
      </c>
    </row>
    <row r="98" spans="1:5" ht="84.75" customHeight="1">
      <c r="B98" s="93" t="s">
        <v>1033</v>
      </c>
      <c r="C98" s="40">
        <v>986</v>
      </c>
      <c r="D98" s="40">
        <v>4167</v>
      </c>
      <c r="E98" s="40">
        <v>63</v>
      </c>
    </row>
    <row r="99" spans="1:5" ht="84.75" customHeight="1">
      <c r="B99" s="93" t="s">
        <v>1034</v>
      </c>
      <c r="C99" s="36">
        <v>5918</v>
      </c>
      <c r="D99" s="36">
        <v>6086</v>
      </c>
      <c r="E99" s="36">
        <v>3766</v>
      </c>
    </row>
    <row r="100" spans="1:5" ht="84.75" customHeight="1">
      <c r="B100" s="93" t="s">
        <v>1035</v>
      </c>
      <c r="C100" s="40">
        <v>51</v>
      </c>
      <c r="D100" s="40">
        <v>258</v>
      </c>
      <c r="E100" s="40">
        <v>3</v>
      </c>
    </row>
    <row r="101" spans="1:5" ht="84.75" customHeight="1">
      <c r="B101" s="93" t="s">
        <v>1036</v>
      </c>
      <c r="C101" s="36">
        <v>28870</v>
      </c>
      <c r="D101" s="36">
        <v>30409</v>
      </c>
      <c r="E101" s="36">
        <v>19298</v>
      </c>
    </row>
    <row r="102" spans="1:5">
      <c r="A102" s="21" t="s">
        <v>1037</v>
      </c>
    </row>
    <row r="104" spans="1:5">
      <c r="A104" s="21" t="s">
        <v>1038</v>
      </c>
    </row>
    <row r="105" spans="1:5">
      <c r="A105" s="282" t="s">
        <v>1039</v>
      </c>
      <c r="B105" s="282"/>
      <c r="C105" s="282"/>
      <c r="D105" s="282"/>
      <c r="E105" s="282"/>
    </row>
    <row r="106" spans="1:5">
      <c r="A106" s="282"/>
      <c r="B106" s="282"/>
      <c r="C106" s="282"/>
      <c r="D106" s="282"/>
      <c r="E106" s="282"/>
    </row>
    <row r="107" spans="1:5">
      <c r="A107" s="289" t="s">
        <v>1040</v>
      </c>
      <c r="B107" s="289"/>
      <c r="C107" s="289"/>
      <c r="D107" s="289"/>
      <c r="E107" s="289"/>
    </row>
    <row r="108" spans="1:5">
      <c r="A108" s="288" t="s">
        <v>1041</v>
      </c>
      <c r="B108" s="288"/>
      <c r="C108" s="288"/>
      <c r="D108" s="288"/>
      <c r="E108" s="288"/>
    </row>
    <row r="110" spans="1:5">
      <c r="A110" s="21" t="s">
        <v>1042</v>
      </c>
    </row>
    <row r="111" spans="1:5">
      <c r="A111" s="289" t="s">
        <v>1043</v>
      </c>
      <c r="B111" s="289"/>
      <c r="C111" s="289"/>
      <c r="D111" s="289"/>
      <c r="E111" s="289"/>
    </row>
    <row r="112" spans="1:5">
      <c r="A112" s="289" t="s">
        <v>1044</v>
      </c>
      <c r="B112" s="289"/>
      <c r="C112" s="289"/>
      <c r="D112" s="289"/>
      <c r="E112" s="289"/>
    </row>
    <row r="113" spans="1:5">
      <c r="A113" s="289" t="s">
        <v>1045</v>
      </c>
      <c r="B113" s="289"/>
      <c r="C113" s="289"/>
      <c r="D113" s="289"/>
      <c r="E113" s="289"/>
    </row>
    <row r="114" spans="1:5">
      <c r="A114" s="289" t="s">
        <v>1046</v>
      </c>
      <c r="B114" s="289"/>
      <c r="C114" s="289"/>
      <c r="D114" s="289"/>
      <c r="E114" s="289"/>
    </row>
    <row r="115" spans="1:5">
      <c r="A115" s="289" t="s">
        <v>1047</v>
      </c>
      <c r="B115" s="289"/>
      <c r="C115" s="289"/>
      <c r="D115" s="289"/>
      <c r="E115" s="289"/>
    </row>
    <row r="118" spans="1:5" ht="18">
      <c r="A118" s="22" t="s">
        <v>1048</v>
      </c>
    </row>
    <row r="119" spans="1:5" ht="48" customHeight="1">
      <c r="A119" s="216" t="s">
        <v>1049</v>
      </c>
      <c r="B119" s="216"/>
      <c r="C119" s="216"/>
      <c r="D119" s="41">
        <v>6809</v>
      </c>
      <c r="E119" s="57"/>
    </row>
    <row r="120" spans="1:5">
      <c r="A120" s="57"/>
      <c r="B120" s="57"/>
      <c r="C120" s="57"/>
      <c r="D120" s="57"/>
      <c r="E120" s="57"/>
    </row>
    <row r="121" spans="1:5" ht="18">
      <c r="A121" s="22" t="s">
        <v>1050</v>
      </c>
      <c r="B121" s="57"/>
      <c r="C121" s="57"/>
    </row>
    <row r="122" spans="1:5">
      <c r="A122" s="216" t="s">
        <v>1051</v>
      </c>
      <c r="B122" s="216"/>
      <c r="C122" s="216"/>
      <c r="D122" s="216"/>
      <c r="E122" s="216"/>
    </row>
    <row r="123" spans="1:5">
      <c r="A123" s="216"/>
      <c r="B123" s="216"/>
      <c r="C123" s="216"/>
      <c r="D123" s="216"/>
      <c r="E123" s="216"/>
    </row>
    <row r="125" spans="1:5">
      <c r="A125" s="282" t="s">
        <v>1052</v>
      </c>
      <c r="B125" s="282"/>
      <c r="C125" s="282"/>
      <c r="D125" s="282"/>
      <c r="E125" s="282"/>
    </row>
    <row r="126" spans="1:5">
      <c r="A126" s="282"/>
      <c r="B126" s="282"/>
      <c r="C126" s="282"/>
      <c r="D126" s="282"/>
      <c r="E126" s="282"/>
    </row>
    <row r="128" spans="1:5">
      <c r="A128" s="282" t="s">
        <v>1053</v>
      </c>
      <c r="B128" s="282"/>
      <c r="C128" s="282"/>
      <c r="D128" s="282"/>
      <c r="E128" s="282"/>
    </row>
    <row r="129" spans="1:5">
      <c r="A129" s="282"/>
      <c r="B129" s="282"/>
      <c r="C129" s="282"/>
      <c r="D129" s="282"/>
      <c r="E129" s="282"/>
    </row>
    <row r="130" spans="1:5">
      <c r="A130" s="282"/>
      <c r="B130" s="282"/>
      <c r="C130" s="282"/>
      <c r="D130" s="282"/>
      <c r="E130" s="282"/>
    </row>
    <row r="133" spans="1:5" ht="157.5">
      <c r="B133" s="92" t="s">
        <v>1054</v>
      </c>
      <c r="C133" s="64" t="s">
        <v>1055</v>
      </c>
      <c r="D133" s="64" t="s">
        <v>1056</v>
      </c>
      <c r="E133" s="64" t="s">
        <v>1057</v>
      </c>
    </row>
    <row r="134" spans="1:5" ht="93.95" customHeight="1">
      <c r="B134" s="168" t="s">
        <v>1058</v>
      </c>
      <c r="C134" s="40">
        <v>2789</v>
      </c>
      <c r="D134" s="12">
        <v>0.41</v>
      </c>
      <c r="E134" s="16">
        <v>21143</v>
      </c>
    </row>
    <row r="135" spans="1:5" ht="78.95" customHeight="1">
      <c r="B135" s="168" t="s">
        <v>1059</v>
      </c>
      <c r="C135" s="40">
        <v>2727</v>
      </c>
      <c r="D135" s="12">
        <v>0.4</v>
      </c>
      <c r="E135" s="16">
        <v>16462</v>
      </c>
    </row>
    <row r="136" spans="1:5" ht="47.1" customHeight="1">
      <c r="B136" s="169" t="s">
        <v>1060</v>
      </c>
      <c r="C136" s="40">
        <v>440</v>
      </c>
      <c r="D136" s="12">
        <v>0.06</v>
      </c>
      <c r="E136" s="16">
        <v>2831</v>
      </c>
    </row>
    <row r="137" spans="1:5" ht="47.1" customHeight="1">
      <c r="B137" s="169" t="s">
        <v>1061</v>
      </c>
      <c r="C137" s="40">
        <v>0</v>
      </c>
      <c r="D137" s="12">
        <v>0</v>
      </c>
      <c r="E137" s="16">
        <v>0</v>
      </c>
    </row>
    <row r="138" spans="1:5" ht="47.1" customHeight="1">
      <c r="B138" s="169" t="s">
        <v>1062</v>
      </c>
      <c r="C138" s="40">
        <v>321</v>
      </c>
      <c r="D138" s="12">
        <v>0.05</v>
      </c>
      <c r="E138" s="16">
        <v>39968</v>
      </c>
    </row>
    <row r="139" spans="1:5" ht="29.1" customHeight="1">
      <c r="B139" s="170"/>
      <c r="C139" s="78"/>
      <c r="D139" s="171"/>
      <c r="E139" s="172"/>
    </row>
    <row r="141" spans="1:5" ht="18">
      <c r="A141" s="22" t="s">
        <v>1063</v>
      </c>
    </row>
    <row r="142" spans="1:5">
      <c r="A142" s="2" t="s">
        <v>1064</v>
      </c>
      <c r="D142" s="78"/>
    </row>
    <row r="143" spans="1:5">
      <c r="B143" s="173" t="s">
        <v>1065</v>
      </c>
      <c r="C143" s="114" t="str">
        <f>B43</f>
        <v>2022-2023 Final</v>
      </c>
    </row>
    <row r="145" spans="1:5">
      <c r="A145" s="2" t="s">
        <v>1066</v>
      </c>
    </row>
    <row r="153" spans="1:5" ht="47.1" customHeight="1">
      <c r="A153" s="216" t="s">
        <v>1067</v>
      </c>
      <c r="B153" s="216"/>
      <c r="C153" s="216"/>
      <c r="D153" s="41">
        <v>45</v>
      </c>
      <c r="E153" s="57"/>
    </row>
    <row r="154" spans="1:5">
      <c r="A154" s="57"/>
      <c r="B154" s="57"/>
      <c r="C154" s="57"/>
      <c r="D154" s="57"/>
      <c r="E154" s="57"/>
    </row>
    <row r="155" spans="1:5" ht="47.1" customHeight="1">
      <c r="A155" s="216" t="s">
        <v>1068</v>
      </c>
      <c r="B155" s="216"/>
      <c r="C155" s="216"/>
      <c r="D155" s="36">
        <v>5419.67</v>
      </c>
    </row>
    <row r="156" spans="1:5">
      <c r="A156" s="57"/>
      <c r="B156" s="57"/>
      <c r="C156" s="57"/>
    </row>
    <row r="157" spans="1:5" ht="48.95" customHeight="1">
      <c r="A157" s="216" t="s">
        <v>1069</v>
      </c>
      <c r="B157" s="216"/>
      <c r="C157" s="216"/>
      <c r="D157" s="36">
        <v>243885</v>
      </c>
    </row>
    <row r="159" spans="1:5" ht="18">
      <c r="A159" s="22" t="s">
        <v>1070</v>
      </c>
    </row>
    <row r="160" spans="1:5">
      <c r="A160" s="2" t="s">
        <v>1071</v>
      </c>
    </row>
    <row r="166" spans="1:4">
      <c r="C166" s="87" t="s">
        <v>1072</v>
      </c>
      <c r="D166" s="38" t="s">
        <v>1395</v>
      </c>
    </row>
    <row r="167" spans="1:4">
      <c r="A167" s="87"/>
    </row>
    <row r="168" spans="1:4" ht="18">
      <c r="A168" s="22" t="s">
        <v>1073</v>
      </c>
    </row>
    <row r="169" spans="1:4">
      <c r="A169" s="2" t="s">
        <v>1074</v>
      </c>
    </row>
    <row r="177" spans="1:4">
      <c r="B177" s="87" t="s">
        <v>1072</v>
      </c>
      <c r="C177" s="38"/>
    </row>
    <row r="180" spans="1:4" ht="18">
      <c r="A180" s="22" t="s">
        <v>1075</v>
      </c>
    </row>
    <row r="182" spans="1:4">
      <c r="A182" s="174" t="s">
        <v>1076</v>
      </c>
      <c r="D182" s="4" t="s">
        <v>21</v>
      </c>
    </row>
    <row r="183" spans="1:4">
      <c r="A183" s="59" t="s">
        <v>1077</v>
      </c>
      <c r="B183" s="59"/>
    </row>
    <row r="184" spans="1:4">
      <c r="A184" s="174"/>
    </row>
    <row r="185" spans="1:4">
      <c r="A185" s="2" t="s">
        <v>1078</v>
      </c>
      <c r="C185" s="18">
        <v>45366</v>
      </c>
    </row>
    <row r="187" spans="1:4">
      <c r="A187" s="2" t="s">
        <v>1079</v>
      </c>
      <c r="C187" s="18"/>
    </row>
    <row r="189" spans="1:4" ht="18">
      <c r="A189" s="22" t="s">
        <v>1080</v>
      </c>
    </row>
    <row r="190" spans="1:4">
      <c r="A190" s="2" t="s">
        <v>1081</v>
      </c>
    </row>
    <row r="192" spans="1:4">
      <c r="A192" s="2" t="s">
        <v>1082</v>
      </c>
      <c r="C192" s="18"/>
    </row>
    <row r="194" spans="1:3">
      <c r="A194" s="2" t="s">
        <v>1083</v>
      </c>
      <c r="C194" s="46">
        <v>45337</v>
      </c>
    </row>
    <row r="196" spans="1:3" ht="18">
      <c r="A196" s="22" t="s">
        <v>1084</v>
      </c>
    </row>
    <row r="198" spans="1:3">
      <c r="B198" s="2" t="s">
        <v>1085</v>
      </c>
      <c r="C198" s="46">
        <v>45413</v>
      </c>
    </row>
    <row r="199" spans="1:3">
      <c r="B199" s="2" t="s">
        <v>1086</v>
      </c>
      <c r="C199" s="47"/>
    </row>
    <row r="200" spans="1:3" ht="18">
      <c r="A200" s="22" t="s">
        <v>1087</v>
      </c>
    </row>
    <row r="201" spans="1:3">
      <c r="A201" s="2" t="s">
        <v>1088</v>
      </c>
    </row>
    <row r="209" spans="1:5">
      <c r="D209" s="87" t="s">
        <v>1089</v>
      </c>
      <c r="E209" s="38"/>
    </row>
    <row r="211" spans="1:5" ht="18">
      <c r="A211" s="22" t="s">
        <v>1090</v>
      </c>
    </row>
    <row r="212" spans="1:5">
      <c r="A212" s="2" t="s">
        <v>1088</v>
      </c>
    </row>
    <row r="220" spans="1:5">
      <c r="C220" s="87" t="s">
        <v>1089</v>
      </c>
      <c r="D220" s="3"/>
    </row>
    <row r="222" spans="1:5" ht="6.95" customHeight="1"/>
    <row r="223" spans="1:5" ht="18">
      <c r="A223" s="22" t="s">
        <v>1091</v>
      </c>
    </row>
    <row r="224" spans="1:5">
      <c r="A224" s="2" t="s">
        <v>1092</v>
      </c>
    </row>
    <row r="233" spans="1:1" ht="18">
      <c r="A233" s="22" t="s">
        <v>1091</v>
      </c>
    </row>
    <row r="234" spans="1:1">
      <c r="A234" s="2" t="s">
        <v>1093</v>
      </c>
    </row>
    <row r="246" spans="1:7" ht="18">
      <c r="A246" s="22" t="s">
        <v>1094</v>
      </c>
    </row>
    <row r="248" spans="1:7" ht="15.95" customHeight="1">
      <c r="A248" s="216" t="s">
        <v>1095</v>
      </c>
      <c r="B248" s="216"/>
      <c r="C248" s="216"/>
      <c r="D248" s="216"/>
      <c r="E248" s="216"/>
    </row>
    <row r="249" spans="1:7">
      <c r="A249" s="216"/>
      <c r="B249" s="216"/>
      <c r="C249" s="216"/>
      <c r="D249" s="216"/>
      <c r="E249" s="216"/>
    </row>
    <row r="250" spans="1:7">
      <c r="A250" s="216"/>
      <c r="B250" s="216"/>
      <c r="C250" s="216"/>
      <c r="D250" s="216"/>
      <c r="E250" s="216"/>
    </row>
    <row r="251" spans="1:7" ht="188.1" customHeight="1">
      <c r="B251" s="38" t="s">
        <v>1396</v>
      </c>
    </row>
    <row r="254" spans="1:7" ht="18.75">
      <c r="A254" s="215" t="s">
        <v>1096</v>
      </c>
      <c r="B254" s="215"/>
      <c r="C254" s="215"/>
      <c r="D254" s="215"/>
      <c r="E254" s="215"/>
      <c r="F254" s="55"/>
      <c r="G254" s="55"/>
    </row>
  </sheetData>
  <sheetProtection formatColumns="0" formatRows="0" selectLockedCells="1"/>
  <mergeCells count="39">
    <mergeCell ref="A157:C157"/>
    <mergeCell ref="A248:E250"/>
    <mergeCell ref="A254:E254"/>
    <mergeCell ref="A119:C119"/>
    <mergeCell ref="A122:E123"/>
    <mergeCell ref="A125:E126"/>
    <mergeCell ref="A128:E130"/>
    <mergeCell ref="A153:C153"/>
    <mergeCell ref="A155:C155"/>
    <mergeCell ref="A115:E115"/>
    <mergeCell ref="A89:E90"/>
    <mergeCell ref="A91:E91"/>
    <mergeCell ref="A92:E93"/>
    <mergeCell ref="A94:E94"/>
    <mergeCell ref="A105:E106"/>
    <mergeCell ref="A107:E107"/>
    <mergeCell ref="A108:E108"/>
    <mergeCell ref="A111:E111"/>
    <mergeCell ref="A112:E112"/>
    <mergeCell ref="A113:E113"/>
    <mergeCell ref="A114:E114"/>
    <mergeCell ref="A71:E71"/>
    <mergeCell ref="A36:E36"/>
    <mergeCell ref="A37:E38"/>
    <mergeCell ref="A40:E40"/>
    <mergeCell ref="A49:B49"/>
    <mergeCell ref="A50:A54"/>
    <mergeCell ref="A55:A58"/>
    <mergeCell ref="A59:A61"/>
    <mergeCell ref="A65:E66"/>
    <mergeCell ref="A67:E67"/>
    <mergeCell ref="A68:E68"/>
    <mergeCell ref="A69:E70"/>
    <mergeCell ref="A35:E35"/>
    <mergeCell ref="A1:E1"/>
    <mergeCell ref="A2:E8"/>
    <mergeCell ref="A9:E28"/>
    <mergeCell ref="A31:E32"/>
    <mergeCell ref="A33:E34"/>
  </mergeCells>
  <dataValidations count="2">
    <dataValidation type="list" allowBlank="1" showInputMessage="1" showErrorMessage="1" sqref="D183:D184" xr:uid="{2C26A365-D89D-4CB8-80E7-2B530C3D13B4}">
      <formula1>$F$182:$F$184</formula1>
    </dataValidation>
    <dataValidation type="list" allowBlank="1" showInputMessage="1" showErrorMessage="1" sqref="B48" xr:uid="{1C33F3FC-D69C-4DDD-B4EC-E679951D6B8A}">
      <formula1>$G$45:$G$47</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44034"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44035"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44036"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44037"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44038" r:id="rId9" name="Check Box 6">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44039" r:id="rId10" name="Check Box 7">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44040" r:id="rId11" name="Check Box 8">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44041" r:id="rId12" name="Check Box 9">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44042" r:id="rId13" name="Check Box 10">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44043" r:id="rId14" name="Check Box 11">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44044" r:id="rId15" name="Check Box 12">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44045" r:id="rId16" name="Check Box 13">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44046" r:id="rId17" name="Check Box 14">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44047" r:id="rId18" name="Check Box 15">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44048" r:id="rId19" name="Check Box 16">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44049" r:id="rId20" name="Check Box 17">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44050" r:id="rId21" name="Check Box 18">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44051" r:id="rId22" name="Check Box 19">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44052" r:id="rId23" name="Check Box 20">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44053" r:id="rId24" name="Check Box 21">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44054" r:id="rId25" name="Check Box 22">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44055" r:id="rId26" name="Check Box 23">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44056" r:id="rId27" name="Check Box 24">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44057" r:id="rId28" name="Check Box 25">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44058" r:id="rId29" name="Check Box 26">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44059" r:id="rId30" name="Check Box 27">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44060" r:id="rId31" name="Check Box 28">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44061" r:id="rId32" name="Check Box 29">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44062" r:id="rId33" name="Check Box 30">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44063" r:id="rId34" name="Check Box 31">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44064" r:id="rId35" name="Check Box 32">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44065" r:id="rId36" name="Check Box 33">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44066" r:id="rId37" name="Check Box 34">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44067" r:id="rId38" name="Check Box 35">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44068" r:id="rId39" name="Check Box 36">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44069" r:id="rId40" name="Check Box 37">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44070" r:id="rId41" name="Check Box 38">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44071" r:id="rId42" name="Check Box 39">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44072" r:id="rId43" name="Check Box 40">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44073" r:id="rId44" name="Check Box 41">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44074" r:id="rId45" name="Check Box 42">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44075" r:id="rId46" name="Check Box 43">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44076" r:id="rId47" name="Check Box 44">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44077" r:id="rId48" name="Check Box 45">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44078" r:id="rId49" name="Check Box 46">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44079" r:id="rId50" name="Check Box 47">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44080" r:id="rId51" name="Check Box 48">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44081" r:id="rId52" name="Check Box 49">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44082" r:id="rId53" name="Check Box 50">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5F76-788C-4CB1-94D9-CECF9CE8570A}">
  <dimension ref="A1:F61"/>
  <sheetViews>
    <sheetView showGridLines="0" showRuler="0" zoomScaleNormal="100" zoomScaleSheetLayoutView="100" zoomScalePageLayoutView="110" workbookViewId="0">
      <selection sqref="A1:F1"/>
    </sheetView>
  </sheetViews>
  <sheetFormatPr defaultColWidth="11" defaultRowHeight="15.75"/>
  <cols>
    <col min="1" max="1" width="3" style="2" customWidth="1"/>
    <col min="2" max="2" width="67" style="2" customWidth="1"/>
    <col min="3" max="16384" width="11" style="2"/>
  </cols>
  <sheetData>
    <row r="1" spans="1:6" ht="18.95" customHeight="1">
      <c r="A1" s="240" t="s">
        <v>1097</v>
      </c>
      <c r="B1" s="240"/>
      <c r="C1" s="240"/>
      <c r="D1" s="240"/>
      <c r="E1" s="240"/>
      <c r="F1" s="240"/>
    </row>
    <row r="2" spans="1:6" ht="18.75">
      <c r="A2" s="55" t="s">
        <v>1098</v>
      </c>
    </row>
    <row r="3" spans="1:6" ht="117" customHeight="1">
      <c r="A3" s="252" t="s">
        <v>1099</v>
      </c>
      <c r="B3" s="252"/>
      <c r="C3" s="252"/>
      <c r="D3" s="252"/>
      <c r="E3" s="252"/>
      <c r="F3" s="252"/>
    </row>
    <row r="4" spans="1:6">
      <c r="B4" s="1"/>
      <c r="C4" s="291" t="s">
        <v>1100</v>
      </c>
      <c r="D4" s="291"/>
      <c r="E4" s="291" t="s">
        <v>1101</v>
      </c>
      <c r="F4" s="291"/>
    </row>
    <row r="5" spans="1:6" ht="59.1" customHeight="1">
      <c r="B5" s="93" t="s">
        <v>1102</v>
      </c>
      <c r="C5" s="292" t="s">
        <v>1103</v>
      </c>
      <c r="D5" s="292"/>
      <c r="E5" s="292" t="s">
        <v>1104</v>
      </c>
      <c r="F5" s="292"/>
    </row>
    <row r="6" spans="1:6" ht="47.25">
      <c r="B6" s="27" t="s">
        <v>1105</v>
      </c>
      <c r="C6" s="292" t="s">
        <v>1103</v>
      </c>
      <c r="D6" s="292"/>
      <c r="E6" s="292" t="s">
        <v>1104</v>
      </c>
      <c r="F6" s="292"/>
    </row>
    <row r="7" spans="1:6" ht="31.5">
      <c r="B7" s="27" t="s">
        <v>1106</v>
      </c>
      <c r="C7" s="292" t="s">
        <v>1103</v>
      </c>
      <c r="D7" s="292"/>
      <c r="E7" s="292" t="s">
        <v>1107</v>
      </c>
      <c r="F7" s="292"/>
    </row>
    <row r="8" spans="1:6" ht="47.25">
      <c r="B8" s="27" t="s">
        <v>1108</v>
      </c>
      <c r="C8" s="292" t="s">
        <v>1103</v>
      </c>
      <c r="D8" s="292"/>
      <c r="E8" s="292" t="s">
        <v>1103</v>
      </c>
      <c r="F8" s="292"/>
    </row>
    <row r="9" spans="1:6">
      <c r="B9" s="27" t="s">
        <v>1109</v>
      </c>
      <c r="C9" s="292" t="s">
        <v>1110</v>
      </c>
      <c r="D9" s="292"/>
      <c r="E9" s="292" t="s">
        <v>1103</v>
      </c>
      <c r="F9" s="292"/>
    </row>
    <row r="10" spans="1:6">
      <c r="B10" s="27" t="s">
        <v>1111</v>
      </c>
      <c r="C10" s="292" t="s">
        <v>1103</v>
      </c>
      <c r="D10" s="292"/>
      <c r="E10" s="292" t="s">
        <v>1103</v>
      </c>
      <c r="F10" s="292"/>
    </row>
    <row r="11" spans="1:6">
      <c r="B11" s="27" t="s">
        <v>1112</v>
      </c>
      <c r="C11" s="292" t="s">
        <v>1103</v>
      </c>
      <c r="D11" s="292"/>
      <c r="E11" s="293" t="s">
        <v>1110</v>
      </c>
      <c r="F11" s="293"/>
    </row>
    <row r="12" spans="1:6" ht="108" customHeight="1">
      <c r="A12" s="294" t="s">
        <v>1113</v>
      </c>
      <c r="B12" s="295"/>
      <c r="C12" s="295"/>
      <c r="D12" s="295"/>
      <c r="E12" s="295"/>
      <c r="F12" s="295"/>
    </row>
    <row r="13" spans="1:6" ht="176.1" customHeight="1">
      <c r="A13" s="290" t="s">
        <v>1114</v>
      </c>
      <c r="B13" s="290"/>
      <c r="C13" s="290"/>
      <c r="D13" s="290"/>
      <c r="E13" s="290"/>
      <c r="F13" s="290"/>
    </row>
    <row r="14" spans="1:6">
      <c r="B14" s="1"/>
      <c r="C14" s="4" t="s">
        <v>1100</v>
      </c>
      <c r="D14" s="4" t="s">
        <v>1101</v>
      </c>
      <c r="E14" s="4" t="s">
        <v>551</v>
      </c>
    </row>
    <row r="15" spans="1:6" ht="26.1" customHeight="1">
      <c r="B15" s="175" t="s">
        <v>1115</v>
      </c>
      <c r="C15" s="9">
        <v>2545</v>
      </c>
      <c r="D15" s="9">
        <v>302</v>
      </c>
      <c r="E15" s="9">
        <f>D15+C15</f>
        <v>2847</v>
      </c>
    </row>
    <row r="16" spans="1:6" ht="29.1" customHeight="1">
      <c r="B16" s="175" t="s">
        <v>1116</v>
      </c>
      <c r="C16" s="9">
        <f>5+120+191+15</f>
        <v>331</v>
      </c>
      <c r="D16" s="9">
        <f>16+10+2</f>
        <v>28</v>
      </c>
      <c r="E16" s="9">
        <f t="shared" ref="E16:E24" si="0">D16+C16</f>
        <v>359</v>
      </c>
    </row>
    <row r="17" spans="1:6" ht="27" customHeight="1">
      <c r="B17" s="175" t="s">
        <v>1117</v>
      </c>
      <c r="C17" s="9">
        <v>1087</v>
      </c>
      <c r="D17" s="9">
        <v>140</v>
      </c>
      <c r="E17" s="9">
        <f t="shared" si="0"/>
        <v>1227</v>
      </c>
    </row>
    <row r="18" spans="1:6" ht="24" customHeight="1">
      <c r="B18" s="175" t="s">
        <v>1118</v>
      </c>
      <c r="C18" s="9">
        <v>1458</v>
      </c>
      <c r="D18" s="9">
        <v>162</v>
      </c>
      <c r="E18" s="9">
        <f t="shared" si="0"/>
        <v>1620</v>
      </c>
    </row>
    <row r="19" spans="1:6" ht="33.75" customHeight="1">
      <c r="B19" s="175" t="s">
        <v>1119</v>
      </c>
      <c r="C19" s="9">
        <v>156</v>
      </c>
      <c r="D19" s="9">
        <v>71</v>
      </c>
      <c r="E19" s="9">
        <f t="shared" si="0"/>
        <v>227</v>
      </c>
    </row>
    <row r="20" spans="1:6" ht="33.75" customHeight="1">
      <c r="B20" s="175" t="s">
        <v>1120</v>
      </c>
      <c r="C20" s="9">
        <f>2090+105+99</f>
        <v>2294</v>
      </c>
      <c r="D20" s="9">
        <f>70+31+16</f>
        <v>117</v>
      </c>
      <c r="E20" s="9">
        <f t="shared" si="0"/>
        <v>2411</v>
      </c>
    </row>
    <row r="21" spans="1:6" ht="33.75" customHeight="1">
      <c r="B21" s="93" t="s">
        <v>1121</v>
      </c>
      <c r="C21" s="9">
        <v>183</v>
      </c>
      <c r="D21" s="9">
        <v>55</v>
      </c>
      <c r="E21" s="9">
        <f t="shared" si="0"/>
        <v>238</v>
      </c>
    </row>
    <row r="22" spans="1:6" ht="33.75" customHeight="1">
      <c r="B22" s="175" t="s">
        <v>1122</v>
      </c>
      <c r="C22" s="9">
        <v>52</v>
      </c>
      <c r="D22" s="9">
        <v>22</v>
      </c>
      <c r="E22" s="9">
        <f t="shared" si="0"/>
        <v>74</v>
      </c>
    </row>
    <row r="23" spans="1:6" ht="33.75" customHeight="1">
      <c r="B23" s="175" t="s">
        <v>1123</v>
      </c>
      <c r="C23" s="9">
        <f>14+2</f>
        <v>16</v>
      </c>
      <c r="D23" s="9">
        <f>3+105</f>
        <v>108</v>
      </c>
      <c r="E23" s="9">
        <f t="shared" si="0"/>
        <v>124</v>
      </c>
    </row>
    <row r="24" spans="1:6" ht="33.75" customHeight="1">
      <c r="B24" s="176" t="s">
        <v>1124</v>
      </c>
      <c r="C24" s="9">
        <v>221</v>
      </c>
      <c r="D24" s="9">
        <v>89</v>
      </c>
      <c r="E24" s="9">
        <f t="shared" si="0"/>
        <v>310</v>
      </c>
    </row>
    <row r="25" spans="1:6">
      <c r="B25" s="177" t="s">
        <v>1125</v>
      </c>
    </row>
    <row r="27" spans="1:6" ht="27" customHeight="1">
      <c r="A27" s="178" t="s">
        <v>1126</v>
      </c>
    </row>
    <row r="28" spans="1:6" ht="102.95" customHeight="1">
      <c r="A28" s="250" t="s">
        <v>1127</v>
      </c>
      <c r="B28" s="250"/>
      <c r="C28" s="250"/>
      <c r="D28" s="250"/>
      <c r="E28" s="250"/>
      <c r="F28" s="250"/>
    </row>
    <row r="30" spans="1:6">
      <c r="B30" s="87" t="s">
        <v>1128</v>
      </c>
      <c r="C30" s="9">
        <v>20</v>
      </c>
      <c r="D30" s="78" t="s">
        <v>1129</v>
      </c>
      <c r="E30" s="78">
        <v>1</v>
      </c>
    </row>
    <row r="32" spans="1:6">
      <c r="B32" s="87" t="s">
        <v>1130</v>
      </c>
      <c r="C32" s="9">
        <v>48490</v>
      </c>
    </row>
    <row r="34" spans="1:6">
      <c r="B34" s="87" t="s">
        <v>1131</v>
      </c>
      <c r="C34" s="9">
        <v>2401</v>
      </c>
    </row>
    <row r="35" spans="1:6">
      <c r="B35" s="53"/>
    </row>
    <row r="36" spans="1:6" ht="18.75">
      <c r="A36" s="178" t="s">
        <v>1132</v>
      </c>
    </row>
    <row r="37" spans="1:6" ht="251.1" customHeight="1">
      <c r="A37" s="250" t="s">
        <v>1133</v>
      </c>
      <c r="B37" s="250"/>
      <c r="C37" s="250"/>
      <c r="D37" s="250"/>
      <c r="E37" s="250"/>
      <c r="F37" s="250"/>
    </row>
    <row r="38" spans="1:6" ht="68.099999999999994" customHeight="1">
      <c r="A38" s="250" t="s">
        <v>1134</v>
      </c>
      <c r="B38" s="250"/>
      <c r="C38" s="250"/>
      <c r="D38" s="250"/>
      <c r="E38" s="250"/>
      <c r="F38" s="250"/>
    </row>
    <row r="39" spans="1:6" ht="36" customHeight="1">
      <c r="A39" s="296" t="s">
        <v>1135</v>
      </c>
      <c r="B39" s="296"/>
      <c r="C39" s="72" t="s">
        <v>1136</v>
      </c>
      <c r="E39" s="72" t="s">
        <v>1137</v>
      </c>
    </row>
    <row r="40" spans="1:6">
      <c r="B40" s="179" t="s">
        <v>1138</v>
      </c>
      <c r="C40" s="9">
        <v>552</v>
      </c>
      <c r="E40" s="9">
        <v>631</v>
      </c>
    </row>
    <row r="41" spans="1:6">
      <c r="B41" s="179" t="s">
        <v>1139</v>
      </c>
      <c r="C41" s="9">
        <v>942</v>
      </c>
      <c r="E41" s="9">
        <v>760</v>
      </c>
    </row>
    <row r="42" spans="1:6">
      <c r="B42" s="179" t="s">
        <v>1140</v>
      </c>
      <c r="C42" s="9">
        <v>910</v>
      </c>
      <c r="E42" s="9">
        <v>1320</v>
      </c>
    </row>
    <row r="43" spans="1:6">
      <c r="B43" s="179" t="s">
        <v>1141</v>
      </c>
      <c r="C43" s="9">
        <v>407</v>
      </c>
      <c r="E43" s="9">
        <v>612</v>
      </c>
    </row>
    <row r="44" spans="1:6">
      <c r="B44" s="179" t="s">
        <v>1142</v>
      </c>
      <c r="C44" s="9">
        <v>247</v>
      </c>
      <c r="E44" s="9">
        <v>170</v>
      </c>
    </row>
    <row r="45" spans="1:6">
      <c r="B45" s="179" t="s">
        <v>1143</v>
      </c>
      <c r="C45" s="9">
        <v>433</v>
      </c>
      <c r="E45" s="9">
        <v>129</v>
      </c>
    </row>
    <row r="46" spans="1:6">
      <c r="B46" s="179" t="s">
        <v>1144</v>
      </c>
      <c r="C46" s="9">
        <v>334</v>
      </c>
      <c r="E46" s="9">
        <v>121</v>
      </c>
    </row>
    <row r="47" spans="1:6">
      <c r="B47" s="179" t="s">
        <v>551</v>
      </c>
      <c r="C47" s="92">
        <f>SUM(C40:C46)</f>
        <v>3825</v>
      </c>
      <c r="D47" s="117"/>
      <c r="E47" s="92">
        <f>SUM(E40:E46)</f>
        <v>3743</v>
      </c>
    </row>
    <row r="48" spans="1:6">
      <c r="B48" s="180"/>
    </row>
    <row r="49" spans="1:6" ht="18.75">
      <c r="A49" s="215" t="s">
        <v>1145</v>
      </c>
      <c r="B49" s="215"/>
      <c r="C49" s="215"/>
      <c r="D49" s="215"/>
      <c r="E49" s="215"/>
      <c r="F49" s="215"/>
    </row>
    <row r="50" spans="1:6">
      <c r="B50" s="306" t="s">
        <v>1397</v>
      </c>
    </row>
    <row r="51" spans="1:6">
      <c r="B51" s="180"/>
    </row>
    <row r="52" spans="1:6">
      <c r="B52" s="180"/>
    </row>
    <row r="53" spans="1:6">
      <c r="B53" s="180"/>
    </row>
    <row r="54" spans="1:6">
      <c r="B54" s="180"/>
    </row>
    <row r="55" spans="1:6">
      <c r="B55" s="180"/>
    </row>
    <row r="56" spans="1:6">
      <c r="B56" s="180"/>
    </row>
    <row r="57" spans="1:6">
      <c r="B57" s="180"/>
    </row>
    <row r="58" spans="1:6">
      <c r="B58" s="180"/>
    </row>
    <row r="59" spans="1:6">
      <c r="B59" s="180"/>
    </row>
    <row r="60" spans="1:6">
      <c r="B60" s="180"/>
    </row>
    <row r="61" spans="1:6">
      <c r="B61" s="20"/>
    </row>
  </sheetData>
  <sheetProtection formatColumns="0" formatRows="0" selectLockedCells="1"/>
  <mergeCells count="25">
    <mergeCell ref="A49:F49"/>
    <mergeCell ref="A38:F38"/>
    <mergeCell ref="A37:F37"/>
    <mergeCell ref="A28:F28"/>
    <mergeCell ref="E10:F10"/>
    <mergeCell ref="C11:D11"/>
    <mergeCell ref="E11:F11"/>
    <mergeCell ref="A12:F12"/>
    <mergeCell ref="A39:B39"/>
    <mergeCell ref="A13:F13"/>
    <mergeCell ref="A1:F1"/>
    <mergeCell ref="A3:F3"/>
    <mergeCell ref="C4:D4"/>
    <mergeCell ref="C5:D5"/>
    <mergeCell ref="E4:F4"/>
    <mergeCell ref="E5:F5"/>
    <mergeCell ref="C8:D8"/>
    <mergeCell ref="C9:D9"/>
    <mergeCell ref="C10:D10"/>
    <mergeCell ref="E6:F6"/>
    <mergeCell ref="E7:F7"/>
    <mergeCell ref="E8:F8"/>
    <mergeCell ref="C6:D6"/>
    <mergeCell ref="C7:D7"/>
    <mergeCell ref="E9:F9"/>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 Christopher S</dc:creator>
  <cp:keywords/>
  <dc:description/>
  <cp:lastModifiedBy>Stuby, Emily Ann</cp:lastModifiedBy>
  <cp:revision/>
  <cp:lastPrinted>2024-05-03T20:54:14Z</cp:lastPrinted>
  <dcterms:created xsi:type="dcterms:W3CDTF">2023-08-17T17:23:40Z</dcterms:created>
  <dcterms:modified xsi:type="dcterms:W3CDTF">2024-07-30T18:20:48Z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