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2.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drawings/drawing3.xml" ContentType="application/vnd.openxmlformats-officedocument.drawing+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drawings/drawing4.xml" ContentType="application/vnd.openxmlformats-officedocument.drawing+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drawings/drawing5.xml" ContentType="application/vnd.openxmlformats-officedocument.drawing+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drawings/drawing6.xml" ContentType="application/vnd.openxmlformats-officedocument.drawing+xml"/>
  <Override PartName="/xl/ctrlProps/ctrlProp289.xml" ContentType="application/vnd.ms-excel.controlproperties+xml"/>
  <Override PartName="/xl/drawings/drawing7.xml" ContentType="application/vnd.openxmlformats-officedocument.drawing+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mflandi15\Box\Institutional Effectiveness - Current\Common Data Set\2022-2023\"/>
    </mc:Choice>
  </mc:AlternateContent>
  <xr:revisionPtr revIDLastSave="0" documentId="13_ncr:1_{4B148BA6-4C93-4923-A8A2-977685FB936E}" xr6:coauthVersionLast="36" xr6:coauthVersionMax="47" xr10:uidLastSave="{00000000-0000-0000-0000-000000000000}"/>
  <bookViews>
    <workbookView xWindow="0" yWindow="460" windowWidth="24460" windowHeight="14260" activeTab="3" xr2:uid="{7A1AD72A-E3A2-4A0B-8B1C-A2D6C4A2AC34}"/>
  </bookViews>
  <sheets>
    <sheet name="answers" sheetId="14" state="hidden" r:id="rId1"/>
    <sheet name="CDS-A" sheetId="13" r:id="rId2"/>
    <sheet name="CDS-B" sheetId="7" r:id="rId3"/>
    <sheet name="CDS-C" sheetId="19" r:id="rId4"/>
    <sheet name="CDS-D" sheetId="11" r:id="rId5"/>
    <sheet name="CDS-E" sheetId="15" r:id="rId6"/>
    <sheet name="CDS-F" sheetId="17" r:id="rId7"/>
    <sheet name="CDS-G" sheetId="9" r:id="rId8"/>
    <sheet name="CDS-H" sheetId="1" r:id="rId9"/>
    <sheet name="CDS-I" sheetId="4" r:id="rId10"/>
    <sheet name="CDS-J" sheetId="5" r:id="rId11"/>
    <sheet name="CDS Definitions" sheetId="20" r:id="rId12"/>
  </sheets>
  <definedNames>
    <definedName name="_xlnm._FilterDatabase" localSheetId="0" hidden="1">answers!$A$1:$B$777</definedName>
    <definedName name="_Hlk22631867" localSheetId="11">'CDS Definitions'!$A$100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801" i="14" l="1"/>
  <c r="B800" i="14"/>
  <c r="B799" i="14"/>
  <c r="B798" i="14"/>
  <c r="B797" i="14"/>
  <c r="B796" i="14"/>
  <c r="B795" i="14"/>
  <c r="B794" i="14"/>
  <c r="B793" i="14"/>
  <c r="B792" i="14"/>
  <c r="B791" i="14"/>
  <c r="B790" i="14"/>
  <c r="B789" i="14"/>
  <c r="B788" i="14"/>
  <c r="B787" i="14"/>
  <c r="B786" i="14"/>
  <c r="B785" i="14"/>
  <c r="B784" i="14"/>
  <c r="B783" i="14"/>
  <c r="B782" i="14"/>
  <c r="B781" i="14"/>
  <c r="B780" i="14"/>
  <c r="H133" i="1" a="1"/>
  <c r="H133" i="1" s="1"/>
  <c r="H145" i="1" a="1"/>
  <c r="H145" i="1" s="1"/>
  <c r="H41" i="1" a="1"/>
  <c r="H41" i="1"/>
  <c r="H40" i="1" a="1"/>
  <c r="H40" i="1" s="1"/>
  <c r="E9" i="15" a="1"/>
  <c r="E9" i="15" s="1"/>
  <c r="G123" i="1"/>
  <c r="B779" i="14"/>
  <c r="K83" i="19" a="1"/>
  <c r="K83" i="19" s="1"/>
  <c r="J274" i="19" a="1"/>
  <c r="J274" i="19" s="1"/>
  <c r="I250" i="19" a="1"/>
  <c r="I250" i="19" s="1"/>
  <c r="H186" i="1" a="1"/>
  <c r="H186" i="1" s="1"/>
  <c r="H180" i="1" a="1"/>
  <c r="H180" i="1" s="1"/>
  <c r="G122" i="1"/>
  <c r="G121" i="1"/>
  <c r="H42" i="1" a="1"/>
  <c r="H42" i="1" s="1"/>
  <c r="E7" i="15" a="1"/>
  <c r="E7" i="15" s="1"/>
  <c r="U129" i="19" a="1"/>
  <c r="U129" i="19" s="1"/>
  <c r="U128" i="19" a="1"/>
  <c r="U128" i="19" s="1"/>
  <c r="U127" i="19" a="1"/>
  <c r="U127" i="19" s="1"/>
  <c r="K84" i="11" a="1"/>
  <c r="K84" i="11" s="1"/>
  <c r="K83" i="11" a="1"/>
  <c r="K83" i="11" s="1"/>
  <c r="K82" i="11" a="1"/>
  <c r="K82" i="11" s="1"/>
  <c r="H90" i="13" a="1"/>
  <c r="H90" i="13" s="1"/>
  <c r="H89" i="13" a="1"/>
  <c r="H89" i="13" s="1"/>
  <c r="H88" i="13" a="1"/>
  <c r="H88" i="13" s="1"/>
  <c r="H87" i="13" a="1"/>
  <c r="H87" i="13" s="1"/>
  <c r="H86" i="13" a="1"/>
  <c r="H86" i="13" s="1"/>
  <c r="H85" i="13" a="1"/>
  <c r="H85" i="13" s="1"/>
  <c r="H84" i="13" a="1"/>
  <c r="H84" i="13" s="1"/>
  <c r="H83" i="13" a="1"/>
  <c r="H83" i="13" s="1"/>
  <c r="H82" i="13" a="1"/>
  <c r="H82" i="13" s="1"/>
  <c r="H81" i="13" a="1"/>
  <c r="H81" i="13" s="1"/>
  <c r="H80" i="13" a="1"/>
  <c r="H80" i="13" s="1"/>
  <c r="H79" i="13" a="1"/>
  <c r="H79" i="13" s="1"/>
  <c r="E5" i="15" a="1"/>
  <c r="E5" i="15" s="1"/>
  <c r="E23" i="15" a="1"/>
  <c r="E23" i="15" s="1"/>
  <c r="E6" i="15" a="1"/>
  <c r="E6" i="15" s="1"/>
  <c r="E41" i="15" a="1"/>
  <c r="E41" i="15" s="1"/>
  <c r="E40" i="15" a="1"/>
  <c r="E40" i="15" s="1"/>
  <c r="E39" i="15" a="1"/>
  <c r="E39" i="15" s="1"/>
  <c r="E38" i="15" a="1"/>
  <c r="E38" i="15" s="1"/>
  <c r="E37" i="15" a="1"/>
  <c r="E37" i="15" s="1"/>
  <c r="E36" i="15" a="1"/>
  <c r="E36" i="15" s="1"/>
  <c r="E35" i="15" a="1"/>
  <c r="E35" i="15" s="1"/>
  <c r="E34" i="15" a="1"/>
  <c r="E34" i="15" s="1"/>
  <c r="E33" i="15" a="1"/>
  <c r="E33" i="15" s="1"/>
  <c r="E32" i="15" a="1"/>
  <c r="E32" i="15" s="1"/>
  <c r="E31" i="15" a="1"/>
  <c r="E31" i="15" s="1"/>
  <c r="E30" i="15" a="1"/>
  <c r="E30" i="15" s="1"/>
  <c r="E29" i="15" a="1"/>
  <c r="E29" i="15" s="1"/>
  <c r="E28" i="15" a="1"/>
  <c r="E28" i="15" s="1"/>
  <c r="E22" i="15" a="1"/>
  <c r="E22" i="15" s="1"/>
  <c r="E21" i="15" a="1"/>
  <c r="E21" i="15" s="1"/>
  <c r="E20" i="15" a="1"/>
  <c r="E20" i="15" s="1"/>
  <c r="E19" i="15" a="1"/>
  <c r="E19" i="15" s="1"/>
  <c r="E18" i="15" a="1"/>
  <c r="E18" i="15" s="1"/>
  <c r="E17" i="15" a="1"/>
  <c r="E17" i="15" s="1"/>
  <c r="E16" i="15" a="1"/>
  <c r="E16" i="15" s="1"/>
  <c r="E15" i="15" a="1"/>
  <c r="E15" i="15" s="1"/>
  <c r="E14" i="15" a="1"/>
  <c r="E14" i="15" s="1"/>
  <c r="E13" i="15" a="1"/>
  <c r="E13" i="15" s="1"/>
  <c r="E12" i="15" a="1"/>
  <c r="E12" i="15" s="1"/>
  <c r="E11" i="15" a="1"/>
  <c r="E11" i="15" s="1"/>
  <c r="E10" i="15" a="1"/>
  <c r="E10" i="15" s="1"/>
  <c r="E8" i="15" a="1"/>
  <c r="E8" i="15" s="1"/>
  <c r="H43" i="9" a="1"/>
  <c r="H43" i="9" s="1"/>
  <c r="H42" i="9" a="1"/>
  <c r="H42" i="9" s="1"/>
  <c r="I112" i="19" a="1"/>
  <c r="I112" i="19" s="1"/>
  <c r="I111" i="19" a="1"/>
  <c r="I111" i="19" s="1"/>
  <c r="I110" i="19" a="1"/>
  <c r="I110" i="19" s="1"/>
  <c r="I109" i="19" a="1"/>
  <c r="I109" i="19" s="1"/>
  <c r="I108" i="19" a="1"/>
  <c r="I108" i="19" s="1"/>
  <c r="I107" i="19" a="1"/>
  <c r="I107" i="19" s="1"/>
  <c r="I106" i="19" a="1"/>
  <c r="I106" i="19" s="1"/>
  <c r="I105" i="19" a="1"/>
  <c r="I105" i="19" s="1"/>
  <c r="I104" i="19" a="1"/>
  <c r="I104" i="19" s="1"/>
  <c r="I103" i="19" a="1"/>
  <c r="I103" i="19" s="1"/>
  <c r="I102" i="19" a="1"/>
  <c r="I102" i="19" s="1"/>
  <c r="I101" i="19" a="1"/>
  <c r="I101" i="19" s="1"/>
  <c r="I100" i="19" a="1"/>
  <c r="I100" i="19" s="1"/>
  <c r="I98" i="19" a="1"/>
  <c r="I98" i="19" s="1"/>
  <c r="I97" i="19" a="1"/>
  <c r="I97" i="19" s="1"/>
  <c r="I96" i="19" a="1"/>
  <c r="I96" i="19" s="1"/>
  <c r="I95" i="19" a="1"/>
  <c r="I95" i="19" s="1"/>
  <c r="I94" i="19" a="1"/>
  <c r="I94" i="19" s="1"/>
  <c r="I93" i="19" a="1"/>
  <c r="I93" i="19" s="1"/>
  <c r="L57" i="17" a="1"/>
  <c r="L57" i="17" s="1"/>
  <c r="L58" i="17" a="1"/>
  <c r="L58" i="17" s="1"/>
  <c r="L29" i="17" a="1"/>
  <c r="L29" i="17" s="1"/>
  <c r="L21" i="17" a="1"/>
  <c r="L21" i="17" s="1"/>
  <c r="L20" i="17" a="1"/>
  <c r="L20" i="17" s="1"/>
  <c r="L16" i="17" a="1"/>
  <c r="L16" i="17" s="1"/>
  <c r="L42" i="17" a="1"/>
  <c r="L42" i="17" s="1"/>
  <c r="L41" i="17" a="1"/>
  <c r="L41" i="17" s="1"/>
  <c r="B145" i="14" s="1"/>
  <c r="L40" i="17" a="1"/>
  <c r="L40" i="17" s="1"/>
  <c r="H157" i="1" a="1"/>
  <c r="H157" i="1" s="1"/>
  <c r="B604" i="14" s="1"/>
  <c r="XFD213" i="1" a="1"/>
  <c r="XFD213" i="1" s="1"/>
  <c r="XFD212" i="1" a="1"/>
  <c r="XFD212" i="1" s="1"/>
  <c r="XFD211" i="1" a="1"/>
  <c r="XFD211" i="1" s="1"/>
  <c r="XFD210" i="1" a="1"/>
  <c r="XFD210" i="1" s="1"/>
  <c r="XFD207" i="1" a="1"/>
  <c r="XFD207" i="1" s="1"/>
  <c r="XFD204" i="1" a="1"/>
  <c r="XFD204" i="1" s="1"/>
  <c r="H213" i="1" a="1"/>
  <c r="H213" i="1" s="1"/>
  <c r="H212" i="1" a="1"/>
  <c r="H212" i="1" s="1"/>
  <c r="H211" i="1" a="1"/>
  <c r="H211" i="1" s="1"/>
  <c r="H210" i="1" a="1"/>
  <c r="H210" i="1" s="1"/>
  <c r="H207" i="1" a="1"/>
  <c r="H207" i="1" s="1"/>
  <c r="H204" i="1" a="1"/>
  <c r="H204" i="1" s="1"/>
  <c r="H194" i="1" a="1"/>
  <c r="H194" i="1" s="1"/>
  <c r="H192" i="1" a="1"/>
  <c r="H192" i="1" s="1"/>
  <c r="H146" i="1" a="1"/>
  <c r="H146" i="1" s="1"/>
  <c r="E66" i="13" a="1"/>
  <c r="E66" i="13" s="1"/>
  <c r="B117" i="14" a="1"/>
  <c r="B117" i="14" s="1"/>
  <c r="D60" i="13" a="1"/>
  <c r="D60" i="13" s="1"/>
  <c r="B116" i="14" a="1"/>
  <c r="B116" i="14" s="1"/>
  <c r="B115" i="14" a="1"/>
  <c r="B115" i="14" s="1"/>
  <c r="B110" i="14" a="1"/>
  <c r="B110" i="14" s="1"/>
  <c r="K42" i="17" a="1"/>
  <c r="K42" i="17" s="1"/>
  <c r="K41" i="17" a="1"/>
  <c r="K41" i="17" s="1"/>
  <c r="M41" i="17" a="1"/>
  <c r="M41" i="17" s="1"/>
  <c r="K40" i="17" a="1"/>
  <c r="K40" i="17" s="1"/>
  <c r="B628" i="14"/>
  <c r="B620" i="14"/>
  <c r="B619" i="14"/>
  <c r="B618" i="14"/>
  <c r="B613" i="14"/>
  <c r="B615" i="14"/>
  <c r="B608" i="14"/>
  <c r="B597" i="14"/>
  <c r="B596" i="14"/>
  <c r="B595" i="14"/>
  <c r="B566" i="14"/>
  <c r="B318" i="14"/>
  <c r="B317" i="14"/>
  <c r="B314" i="14"/>
  <c r="B311" i="14"/>
  <c r="B327" i="14"/>
  <c r="B326" i="14"/>
  <c r="B616" i="14"/>
  <c r="B601" i="14"/>
  <c r="B599" i="14"/>
  <c r="B287" i="14"/>
  <c r="B93" i="14"/>
  <c r="B85" i="14"/>
  <c r="B75" i="14"/>
  <c r="B34" i="14"/>
  <c r="B7" i="14"/>
  <c r="B54" i="14"/>
  <c r="B49" i="14"/>
  <c r="B48" i="14"/>
  <c r="C50" i="14"/>
  <c r="B50" i="14" s="1" a="1"/>
  <c r="B50" i="14" s="1"/>
  <c r="C60" i="14"/>
  <c r="B60" i="14" s="1" a="1"/>
  <c r="B60" i="14" s="1"/>
  <c r="B146" i="14" l="1"/>
  <c r="B503" i="14"/>
  <c r="K86" i="11"/>
  <c r="B76" i="14" s="1"/>
  <c r="B144" i="14"/>
  <c r="H121" i="1"/>
  <c r="D72" i="7"/>
  <c r="E72" i="7"/>
  <c r="C72" i="7"/>
  <c r="K22" i="4"/>
  <c r="K23" i="4"/>
  <c r="K24" i="4"/>
  <c r="K25" i="4"/>
  <c r="K26" i="4"/>
  <c r="K27" i="4"/>
  <c r="K28" i="4"/>
  <c r="K29" i="4"/>
  <c r="K30" i="4"/>
  <c r="K21" i="4"/>
  <c r="D84" i="7"/>
  <c r="E84" i="7"/>
  <c r="C84" i="7"/>
  <c r="E12" i="7"/>
  <c r="B484" i="14" s="1"/>
  <c r="B377" i="14"/>
  <c r="C61" i="14"/>
  <c r="B61" i="14" s="1" a="1"/>
  <c r="B61" i="14" s="1"/>
  <c r="B64" i="14"/>
  <c r="B63" i="14"/>
  <c r="C74" i="14"/>
  <c r="B74" i="14" s="1" a="1"/>
  <c r="B74" i="14" s="1"/>
  <c r="C73" i="14"/>
  <c r="B73" i="14" s="1" a="1"/>
  <c r="B73" i="14" s="1"/>
  <c r="C72" i="14"/>
  <c r="B72" i="14" s="1" a="1"/>
  <c r="B72" i="14" s="1"/>
  <c r="C71" i="14"/>
  <c r="B71" i="14" s="1" a="1"/>
  <c r="B71" i="14" s="1"/>
  <c r="B66" i="14"/>
  <c r="C65" i="14"/>
  <c r="B65" i="14" s="1" a="1"/>
  <c r="B65" i="14" s="1"/>
  <c r="C46" i="14"/>
  <c r="B46" i="14" s="1" a="1"/>
  <c r="B46" i="14" s="1"/>
  <c r="C41" i="14"/>
  <c r="B41" i="14" s="1" a="1"/>
  <c r="B41" i="14" s="1"/>
  <c r="C44" i="14"/>
  <c r="B44" i="14" s="1" a="1"/>
  <c r="B44" i="14" s="1"/>
  <c r="B37" i="14"/>
  <c r="B410" i="14"/>
  <c r="B409" i="14"/>
  <c r="B408" i="14"/>
  <c r="B407" i="14"/>
  <c r="B406" i="14"/>
  <c r="B405" i="14"/>
  <c r="B404" i="14"/>
  <c r="B403" i="14"/>
  <c r="B402" i="14"/>
  <c r="B401" i="14"/>
  <c r="B400" i="14"/>
  <c r="B399" i="14"/>
  <c r="B398" i="14"/>
  <c r="B397" i="14"/>
  <c r="B396" i="14"/>
  <c r="B389" i="14"/>
  <c r="B388" i="14"/>
  <c r="B387" i="14"/>
  <c r="B386" i="14"/>
  <c r="B385" i="14"/>
  <c r="B384" i="14"/>
  <c r="B395" i="14"/>
  <c r="B394" i="14"/>
  <c r="B393" i="14"/>
  <c r="B392" i="14"/>
  <c r="B391" i="14"/>
  <c r="B390" i="14"/>
  <c r="B383" i="14"/>
  <c r="B382" i="14"/>
  <c r="B381" i="14"/>
  <c r="B380" i="14"/>
  <c r="B379" i="14"/>
  <c r="B378"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3" i="14"/>
  <c r="B342" i="14"/>
  <c r="B345" i="14"/>
  <c r="B344" i="14"/>
  <c r="B347" i="14"/>
  <c r="B346" i="14"/>
  <c r="B341" i="14"/>
  <c r="B340" i="14"/>
  <c r="B339" i="14"/>
  <c r="B338" i="14"/>
  <c r="B337" i="14"/>
  <c r="B336" i="14"/>
  <c r="B335" i="14"/>
  <c r="B334" i="14"/>
  <c r="B333" i="14"/>
  <c r="B332" i="14"/>
  <c r="B331" i="14"/>
  <c r="B330" i="14"/>
  <c r="B329" i="14"/>
  <c r="B328" i="14"/>
  <c r="C33" i="14"/>
  <c r="B33" i="14" s="1" a="1"/>
  <c r="B33" i="14" s="1"/>
  <c r="C32" i="14"/>
  <c r="B32" i="14" s="1" a="1"/>
  <c r="B32" i="14" s="1"/>
  <c r="H269" i="19" a="1"/>
  <c r="H269" i="19" s="1"/>
  <c r="B45" i="14" s="1"/>
  <c r="B475" i="14"/>
  <c r="B474" i="14"/>
  <c r="B473" i="14"/>
  <c r="B472" i="14"/>
  <c r="B471" i="14"/>
  <c r="B470" i="14"/>
  <c r="B492" i="14"/>
  <c r="B491" i="14"/>
  <c r="B479" i="14"/>
  <c r="B478" i="14"/>
  <c r="B455" i="14"/>
  <c r="B454" i="14"/>
  <c r="B449" i="14"/>
  <c r="B448" i="14"/>
  <c r="B26" i="14"/>
  <c r="B25" i="14"/>
  <c r="B24" i="14"/>
  <c r="B23" i="14"/>
  <c r="B22" i="14"/>
  <c r="B21" i="14"/>
  <c r="B20" i="14"/>
  <c r="B19" i="14"/>
  <c r="B18" i="14"/>
  <c r="B17" i="14"/>
  <c r="B16" i="14"/>
  <c r="B15" i="14"/>
  <c r="B14" i="14"/>
  <c r="B11" i="14"/>
  <c r="B13" i="14"/>
  <c r="B12" i="14"/>
  <c r="B10" i="14"/>
  <c r="B9" i="14"/>
  <c r="B8" i="14"/>
  <c r="H285" i="19" a="1"/>
  <c r="H285" i="19" s="1"/>
  <c r="B67" i="14" s="1"/>
  <c r="H148" i="19" a="1"/>
  <c r="H148" i="19" s="1"/>
  <c r="H147" i="19" a="1"/>
  <c r="H147" i="19" s="1"/>
  <c r="H146" i="19" a="1"/>
  <c r="H146" i="19" s="1"/>
  <c r="H145" i="19" a="1"/>
  <c r="H145" i="19" s="1"/>
  <c r="H144" i="19" a="1"/>
  <c r="H144" i="19" s="1"/>
  <c r="H143" i="19" a="1"/>
  <c r="H143" i="19" s="1"/>
  <c r="H142" i="19" a="1"/>
  <c r="H142" i="19" s="1"/>
  <c r="S129" i="19" a="1"/>
  <c r="S129" i="19" s="1"/>
  <c r="L54" i="17" a="1"/>
  <c r="L54" i="17" s="1"/>
  <c r="L53" i="17" a="1"/>
  <c r="L53" i="17" s="1"/>
  <c r="L48" i="17" a="1"/>
  <c r="L48" i="17" s="1"/>
  <c r="L47" i="17" a="1"/>
  <c r="L47" i="17" s="1"/>
  <c r="L46" i="17" a="1"/>
  <c r="L46" i="17" s="1"/>
  <c r="D15" i="11"/>
  <c r="B3" i="14" s="1"/>
  <c r="E15" i="11"/>
  <c r="B4" i="14" s="1"/>
  <c r="C15" i="11"/>
  <c r="B2" i="14" s="1"/>
  <c r="F207" i="19"/>
  <c r="G207" i="19"/>
  <c r="H326" i="19" a="1"/>
  <c r="H326" i="19" s="1"/>
  <c r="B62" i="14" s="1"/>
  <c r="H320" i="19" a="1"/>
  <c r="H320" i="19" s="1"/>
  <c r="B59" i="14" s="1"/>
  <c r="H304" i="19" a="1"/>
  <c r="H304" i="19" s="1"/>
  <c r="B70" i="14" s="1"/>
  <c r="H296" i="19" a="1"/>
  <c r="H296" i="19" s="1"/>
  <c r="B69" i="14" s="1"/>
  <c r="H291" i="19" a="1"/>
  <c r="H291" i="19" s="1"/>
  <c r="B68" i="14" s="1"/>
  <c r="H265" i="19" a="1"/>
  <c r="H265" i="19" s="1"/>
  <c r="B42" i="14" s="1"/>
  <c r="H257" i="19" a="1"/>
  <c r="H257" i="19" s="1"/>
  <c r="B43" i="14" s="1"/>
  <c r="H253" i="19" a="1"/>
  <c r="H253" i="19" s="1"/>
  <c r="B40" i="14" s="1"/>
  <c r="H246" i="19" a="1"/>
  <c r="H246" i="19" s="1"/>
  <c r="B38" i="14" s="1"/>
  <c r="H241" i="19" a="1"/>
  <c r="H241" i="19" s="1"/>
  <c r="B36" i="14" s="1"/>
  <c r="H133" i="19" a="1"/>
  <c r="H133" i="19" s="1"/>
  <c r="B31" i="14" s="1"/>
  <c r="H122" i="19" a="1"/>
  <c r="H122" i="19" s="1"/>
  <c r="B27" i="14" s="1"/>
  <c r="D230" i="19"/>
  <c r="E207" i="19"/>
  <c r="D207" i="19"/>
  <c r="C207" i="19"/>
  <c r="C198" i="19"/>
  <c r="D189" i="19"/>
  <c r="C189" i="19"/>
  <c r="B6" i="14" l="1"/>
  <c r="B778" i="14"/>
  <c r="B29" i="14"/>
  <c r="B30" i="14"/>
  <c r="B28" i="14"/>
  <c r="B39" i="14"/>
  <c r="B47" i="14"/>
  <c r="G12" i="7" l="1"/>
  <c r="G19" i="7"/>
  <c r="E19" i="7"/>
  <c r="B476" i="14" s="1"/>
  <c r="E14" i="7"/>
  <c r="B497" i="14" s="1"/>
  <c r="B105" i="14"/>
  <c r="B627" i="14"/>
  <c r="B623" i="14"/>
  <c r="B626" i="14"/>
  <c r="B625" i="14"/>
  <c r="B624" i="14"/>
  <c r="B622" i="14"/>
  <c r="B621" i="14"/>
  <c r="B642" i="14"/>
  <c r="B641" i="14"/>
  <c r="B83" i="14"/>
  <c r="B82" i="14"/>
  <c r="B80" i="14"/>
  <c r="B79" i="14"/>
  <c r="B78" i="14"/>
  <c r="B77" i="14"/>
  <c r="B92" i="14"/>
  <c r="B91" i="14"/>
  <c r="B90" i="14"/>
  <c r="B89" i="14"/>
  <c r="B88" i="14"/>
  <c r="B87" i="14"/>
  <c r="B86" i="14"/>
  <c r="C125" i="14"/>
  <c r="B125" i="14" s="1" a="1"/>
  <c r="B125" i="14" s="1"/>
  <c r="C123" i="14"/>
  <c r="B123" i="14" s="1" a="1"/>
  <c r="B123" i="14" s="1"/>
  <c r="C121" i="14"/>
  <c r="B121" i="14" s="1" a="1"/>
  <c r="B121" i="14" s="1"/>
  <c r="C119" i="14"/>
  <c r="B119" i="14" s="1" a="1"/>
  <c r="B119" i="14" s="1"/>
  <c r="C124" i="14"/>
  <c r="B124" i="14" s="1" a="1"/>
  <c r="B124" i="14" s="1"/>
  <c r="C122" i="14"/>
  <c r="B122" i="14" s="1" a="1"/>
  <c r="B122" i="14" s="1"/>
  <c r="C120" i="14"/>
  <c r="B120" i="14" s="1" a="1"/>
  <c r="B120" i="14" s="1"/>
  <c r="C118" i="14"/>
  <c r="B118" i="14" s="1" a="1"/>
  <c r="B118" i="14" s="1"/>
  <c r="C114" i="14"/>
  <c r="B114" i="14" s="1" a="1"/>
  <c r="B114" i="14" s="1"/>
  <c r="C113" i="14"/>
  <c r="B113" i="14" s="1" a="1"/>
  <c r="B113" i="14" s="1"/>
  <c r="C112" i="14"/>
  <c r="B112" i="14" s="1" a="1"/>
  <c r="B112" i="14" s="1"/>
  <c r="C111" i="14"/>
  <c r="B111" i="14" s="1" a="1"/>
  <c r="B111" i="14" s="1"/>
  <c r="C109" i="14"/>
  <c r="B109" i="14" s="1" a="1"/>
  <c r="B109" i="14" s="1"/>
  <c r="C108" i="14"/>
  <c r="B108" i="14" s="1" a="1"/>
  <c r="B108" i="14" s="1"/>
  <c r="C107" i="14"/>
  <c r="B107" i="14" s="1" a="1"/>
  <c r="B107" i="14" s="1"/>
  <c r="C106" i="14"/>
  <c r="B106" i="14" s="1" a="1"/>
  <c r="B106" i="14" s="1"/>
  <c r="B104" i="14"/>
  <c r="B103" i="14"/>
  <c r="B96" i="14"/>
  <c r="K36" i="11" a="1"/>
  <c r="K36" i="11" s="1"/>
  <c r="B102" i="14" s="1"/>
  <c r="K35" i="11" a="1"/>
  <c r="K35" i="11" s="1"/>
  <c r="B101" i="14" s="1"/>
  <c r="K34" i="11" a="1"/>
  <c r="K34" i="11" s="1"/>
  <c r="B100" i="14" s="1"/>
  <c r="K33" i="11" a="1"/>
  <c r="K33" i="11" s="1"/>
  <c r="B99" i="14" s="1"/>
  <c r="K32" i="11" a="1"/>
  <c r="K32" i="11" s="1"/>
  <c r="B98" i="14" s="1"/>
  <c r="K31" i="11" a="1"/>
  <c r="K31" i="11" s="1"/>
  <c r="B97" i="14" s="1"/>
  <c r="K98" i="11" a="1"/>
  <c r="K98" i="11" s="1"/>
  <c r="K55" i="11" a="1"/>
  <c r="K55" i="11" s="1"/>
  <c r="B84" i="14" s="1"/>
  <c r="K6" i="11" a="1"/>
  <c r="K6" i="11" s="1"/>
  <c r="K25" i="11" a="1"/>
  <c r="K25" i="11" s="1"/>
  <c r="K23" i="11" a="1"/>
  <c r="K23" i="11" s="1"/>
  <c r="K22" i="11" a="1"/>
  <c r="K22" i="11" s="1"/>
  <c r="K21" i="11" a="1"/>
  <c r="K21" i="11" s="1"/>
  <c r="K20" i="11" a="1"/>
  <c r="K20" i="11" s="1"/>
  <c r="K5" i="11" a="1"/>
  <c r="K5" i="11" s="1"/>
  <c r="B637" i="14"/>
  <c r="B635" i="14"/>
  <c r="B636" i="14"/>
  <c r="B634" i="14"/>
  <c r="B633" i="14"/>
  <c r="B632" i="14"/>
  <c r="B631" i="14"/>
  <c r="B630" i="14"/>
  <c r="B644" i="14"/>
  <c r="B643" i="14"/>
  <c r="H20" i="13" a="1"/>
  <c r="H20" i="13" s="1"/>
  <c r="B629" i="14" s="1"/>
  <c r="B58" i="14" a="1"/>
  <c r="B58" i="14" s="1"/>
  <c r="B35" i="14" a="1"/>
  <c r="B35" i="14" s="1"/>
  <c r="B53" i="14"/>
  <c r="B52" i="14"/>
  <c r="B325" i="14"/>
  <c r="B324" i="14"/>
  <c r="B323" i="14"/>
  <c r="B322" i="14"/>
  <c r="B320" i="14"/>
  <c r="B321" i="14"/>
  <c r="B319" i="14"/>
  <c r="B316" i="14"/>
  <c r="B315" i="14"/>
  <c r="B313" i="14"/>
  <c r="B312" i="14"/>
  <c r="H47" i="19" a="1"/>
  <c r="H47" i="19" s="1"/>
  <c r="B57" i="14" s="1"/>
  <c r="H46" i="19" a="1"/>
  <c r="H46" i="19" s="1"/>
  <c r="B56" i="14" s="1"/>
  <c r="H45" i="19" a="1"/>
  <c r="H45" i="19" s="1"/>
  <c r="B55" i="14" s="1"/>
  <c r="H36" i="19" a="1"/>
  <c r="H36" i="19" s="1"/>
  <c r="B51" i="14" s="1"/>
  <c r="B307" i="14"/>
  <c r="B310" i="14"/>
  <c r="C612" i="14"/>
  <c r="B612" i="14" s="1" a="1"/>
  <c r="B612" i="14" s="1"/>
  <c r="C607" i="14"/>
  <c r="B607" i="14" s="1" a="1"/>
  <c r="B607" i="14" s="1"/>
  <c r="C605" i="14"/>
  <c r="B605" i="14" s="1" a="1"/>
  <c r="B605" i="14" s="1"/>
  <c r="C603" i="14"/>
  <c r="B603" i="14" s="1" a="1"/>
  <c r="B603" i="14" s="1"/>
  <c r="C602" i="14"/>
  <c r="B602" i="14" s="1" a="1"/>
  <c r="B602" i="14" s="1"/>
  <c r="B592" i="14"/>
  <c r="B591" i="14"/>
  <c r="B590" i="14"/>
  <c r="B589" i="14"/>
  <c r="B588" i="14"/>
  <c r="B587" i="14"/>
  <c r="B586" i="14"/>
  <c r="B585" i="14"/>
  <c r="B584" i="14"/>
  <c r="B583" i="14"/>
  <c r="B582" i="14"/>
  <c r="B581" i="14"/>
  <c r="B580" i="14"/>
  <c r="B579" i="14"/>
  <c r="B578" i="14"/>
  <c r="B593" i="14"/>
  <c r="B577" i="14"/>
  <c r="B576" i="14"/>
  <c r="B575" i="14"/>
  <c r="B574" i="14"/>
  <c r="B573" i="14"/>
  <c r="B572" i="14"/>
  <c r="B571" i="14"/>
  <c r="B570" i="14"/>
  <c r="B569" i="14"/>
  <c r="B568" i="14"/>
  <c r="B567"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18" i="14"/>
  <c r="B517" i="14"/>
  <c r="B516" i="14"/>
  <c r="B515" i="14"/>
  <c r="B514" i="14"/>
  <c r="B511" i="14"/>
  <c r="B510" i="14"/>
  <c r="B509" i="14"/>
  <c r="B508" i="14"/>
  <c r="B507" i="14"/>
  <c r="B506" i="14"/>
  <c r="B505" i="14"/>
  <c r="B504" i="14"/>
  <c r="XFD209" i="1" a="1"/>
  <c r="XFD209" i="1" s="1"/>
  <c r="XFD205" i="1" a="1"/>
  <c r="XFD205" i="1" s="1"/>
  <c r="XFD206" i="1" a="1"/>
  <c r="XFD206" i="1" s="1"/>
  <c r="XFD203" i="1" a="1"/>
  <c r="XFD203" i="1" s="1"/>
  <c r="B594" i="14"/>
  <c r="H150" i="1" a="1"/>
  <c r="H150" i="1" s="1"/>
  <c r="H149" i="1" a="1"/>
  <c r="H149" i="1" s="1"/>
  <c r="H148" i="1" a="1"/>
  <c r="H148" i="1" s="1"/>
  <c r="H147" i="1" a="1"/>
  <c r="H147" i="1" s="1"/>
  <c r="H144" i="1" a="1"/>
  <c r="H144" i="1" s="1"/>
  <c r="H137" i="1" a="1"/>
  <c r="H137" i="1" s="1"/>
  <c r="H136" i="1" a="1"/>
  <c r="H136" i="1" s="1"/>
  <c r="H135" i="1" a="1"/>
  <c r="H135" i="1" s="1"/>
  <c r="H134" i="1" a="1"/>
  <c r="H134" i="1" s="1"/>
  <c r="H185" i="1" a="1"/>
  <c r="H185" i="1" s="1"/>
  <c r="H184" i="1" a="1"/>
  <c r="H184" i="1" s="1"/>
  <c r="H183" i="1" a="1"/>
  <c r="H183" i="1" s="1"/>
  <c r="H182" i="1" a="1"/>
  <c r="H182" i="1" s="1"/>
  <c r="H181" i="1" a="1"/>
  <c r="H181" i="1" s="1"/>
  <c r="H179" i="1" a="1"/>
  <c r="H179" i="1" s="1"/>
  <c r="H222" i="1" a="1"/>
  <c r="H222" i="1" s="1"/>
  <c r="B609" i="14" s="1"/>
  <c r="H209" i="1" a="1"/>
  <c r="H209" i="1" s="1"/>
  <c r="H208" i="1" a="1"/>
  <c r="H208" i="1" s="1"/>
  <c r="H206" i="1" a="1"/>
  <c r="H206" i="1" s="1"/>
  <c r="H205" i="1" a="1"/>
  <c r="H205" i="1" s="1"/>
  <c r="H203" i="1" a="1"/>
  <c r="H203" i="1" s="1"/>
  <c r="H197" i="1" a="1"/>
  <c r="H197" i="1" s="1"/>
  <c r="H196" i="1" a="1"/>
  <c r="H196" i="1" s="1"/>
  <c r="H195" i="1" a="1"/>
  <c r="H195" i="1" s="1"/>
  <c r="H193" i="1" a="1"/>
  <c r="H193" i="1" s="1"/>
  <c r="H191" i="1" a="1"/>
  <c r="H191" i="1" s="1"/>
  <c r="H166" i="1" a="1"/>
  <c r="H166" i="1" s="1"/>
  <c r="B606" i="14" s="1"/>
  <c r="B263" i="14"/>
  <c r="B185" i="14"/>
  <c r="B224" i="14"/>
  <c r="B262" i="14"/>
  <c r="B184" i="14"/>
  <c r="B223" i="14"/>
  <c r="B261" i="14"/>
  <c r="B183" i="14"/>
  <c r="B222" i="14"/>
  <c r="B260" i="14"/>
  <c r="B182" i="14"/>
  <c r="B221" i="14"/>
  <c r="B259" i="14"/>
  <c r="B181" i="14"/>
  <c r="B220" i="14"/>
  <c r="B258" i="14"/>
  <c r="B180" i="14"/>
  <c r="B219" i="14"/>
  <c r="B257" i="14"/>
  <c r="B179" i="14"/>
  <c r="B218" i="14"/>
  <c r="B256" i="14"/>
  <c r="B178" i="14"/>
  <c r="B217" i="14"/>
  <c r="B255" i="14"/>
  <c r="B177" i="14"/>
  <c r="B216" i="14"/>
  <c r="B254" i="14"/>
  <c r="B176" i="14"/>
  <c r="B215" i="14"/>
  <c r="B253" i="14"/>
  <c r="B175" i="14"/>
  <c r="B214" i="14"/>
  <c r="B252" i="14"/>
  <c r="B174" i="14"/>
  <c r="B213" i="14"/>
  <c r="B251" i="14"/>
  <c r="B173" i="14"/>
  <c r="B212" i="14"/>
  <c r="B250" i="14"/>
  <c r="B172" i="14"/>
  <c r="B211" i="14"/>
  <c r="B249" i="14"/>
  <c r="B171" i="14"/>
  <c r="B210" i="14"/>
  <c r="B248" i="14"/>
  <c r="B170" i="14"/>
  <c r="B209" i="14"/>
  <c r="B247" i="14"/>
  <c r="B169" i="14"/>
  <c r="B208" i="14"/>
  <c r="B246" i="14"/>
  <c r="B168" i="14"/>
  <c r="B207" i="14"/>
  <c r="B245" i="14"/>
  <c r="B167" i="14"/>
  <c r="B206" i="14"/>
  <c r="B244" i="14"/>
  <c r="B166" i="14"/>
  <c r="B205" i="14"/>
  <c r="B243" i="14"/>
  <c r="B165" i="14"/>
  <c r="B204" i="14"/>
  <c r="B242" i="14"/>
  <c r="B164" i="14"/>
  <c r="B203" i="14"/>
  <c r="B241" i="14"/>
  <c r="B163" i="14"/>
  <c r="B202" i="14"/>
  <c r="B240" i="14"/>
  <c r="B162" i="14"/>
  <c r="B201" i="14"/>
  <c r="B239" i="14"/>
  <c r="B161" i="14"/>
  <c r="B200" i="14"/>
  <c r="B238" i="14"/>
  <c r="B160" i="14"/>
  <c r="B199" i="14"/>
  <c r="B237" i="14"/>
  <c r="B159" i="14"/>
  <c r="B198" i="14"/>
  <c r="B236" i="14"/>
  <c r="B158" i="14"/>
  <c r="B197" i="14"/>
  <c r="B235" i="14"/>
  <c r="B157" i="14"/>
  <c r="B196" i="14"/>
  <c r="B234" i="14"/>
  <c r="B156" i="14"/>
  <c r="B195" i="14"/>
  <c r="B233" i="14"/>
  <c r="B155" i="14"/>
  <c r="B194" i="14"/>
  <c r="B232" i="14"/>
  <c r="B154" i="14"/>
  <c r="B193" i="14"/>
  <c r="B231" i="14"/>
  <c r="B153" i="14"/>
  <c r="B192" i="14"/>
  <c r="B230" i="14"/>
  <c r="B152" i="14"/>
  <c r="B191" i="14"/>
  <c r="B229" i="14"/>
  <c r="B151" i="14"/>
  <c r="B190" i="14"/>
  <c r="B228" i="14"/>
  <c r="B150" i="14"/>
  <c r="B189" i="14"/>
  <c r="B227" i="14"/>
  <c r="B149" i="14"/>
  <c r="B188" i="14"/>
  <c r="B226" i="14"/>
  <c r="B148" i="14"/>
  <c r="B187" i="14"/>
  <c r="B225" i="14"/>
  <c r="B147" i="14"/>
  <c r="B186" i="14"/>
  <c r="B682" i="14"/>
  <c r="B681" i="14"/>
  <c r="B680" i="14"/>
  <c r="B679" i="14"/>
  <c r="B678" i="14"/>
  <c r="B677" i="14"/>
  <c r="B676" i="14"/>
  <c r="B674" i="14"/>
  <c r="B673" i="14"/>
  <c r="B672" i="14"/>
  <c r="B671" i="14"/>
  <c r="B670" i="14"/>
  <c r="B669" i="14"/>
  <c r="B668" i="14"/>
  <c r="B667" i="14"/>
  <c r="B666" i="14"/>
  <c r="B665" i="14"/>
  <c r="B652" i="14"/>
  <c r="B651" i="14"/>
  <c r="B650" i="14"/>
  <c r="B649" i="14"/>
  <c r="B648" i="14"/>
  <c r="B647" i="14"/>
  <c r="B653" i="14"/>
  <c r="B654" i="14"/>
  <c r="B664" i="14"/>
  <c r="B663" i="14"/>
  <c r="B646" i="14"/>
  <c r="B645" i="14"/>
  <c r="B662" i="14"/>
  <c r="B661" i="14"/>
  <c r="B660" i="14"/>
  <c r="B659" i="14"/>
  <c r="B658" i="14"/>
  <c r="B657" i="14"/>
  <c r="B656" i="14"/>
  <c r="B655" i="14"/>
  <c r="B305" i="14"/>
  <c r="B304" i="14"/>
  <c r="B303" i="14"/>
  <c r="B302" i="14"/>
  <c r="B301" i="14"/>
  <c r="B300" i="14"/>
  <c r="B294" i="14"/>
  <c r="B290" i="14"/>
  <c r="B299" i="14"/>
  <c r="B293" i="14"/>
  <c r="B289" i="14"/>
  <c r="B298" i="14"/>
  <c r="B297" i="14"/>
  <c r="B292" i="14"/>
  <c r="B296" i="14"/>
  <c r="B295" i="14"/>
  <c r="B291" i="14"/>
  <c r="B288" i="14"/>
  <c r="B309" i="14"/>
  <c r="B308" i="14"/>
  <c r="B286" i="14"/>
  <c r="B276" i="14"/>
  <c r="B277" i="14"/>
  <c r="B275" i="14"/>
  <c r="B285" i="14"/>
  <c r="B274" i="14"/>
  <c r="B284" i="14"/>
  <c r="B273" i="14"/>
  <c r="B283" i="14"/>
  <c r="B272" i="14"/>
  <c r="B282" i="14"/>
  <c r="B271" i="14"/>
  <c r="B281" i="14"/>
  <c r="B270" i="14"/>
  <c r="B280" i="14"/>
  <c r="B269" i="14"/>
  <c r="B279" i="14"/>
  <c r="B268" i="14"/>
  <c r="B278" i="14"/>
  <c r="B135" i="14"/>
  <c r="B126" i="14"/>
  <c r="B134" i="14"/>
  <c r="B127" i="14"/>
  <c r="B141" i="14"/>
  <c r="B133" i="14"/>
  <c r="B140" i="14"/>
  <c r="B132" i="14"/>
  <c r="B139" i="14"/>
  <c r="B131" i="14"/>
  <c r="B138" i="14"/>
  <c r="B130" i="14"/>
  <c r="B137" i="14"/>
  <c r="B129" i="14"/>
  <c r="B136" i="14"/>
  <c r="B128" i="14"/>
  <c r="B265" i="14"/>
  <c r="B267" i="14"/>
  <c r="B693" i="14"/>
  <c r="B774" i="14"/>
  <c r="B775" i="14"/>
  <c r="B777" i="14"/>
  <c r="B776" i="14"/>
  <c r="B773" i="14"/>
  <c r="B772" i="14"/>
  <c r="B771" i="14"/>
  <c r="B770" i="14"/>
  <c r="B769" i="14"/>
  <c r="B768" i="14"/>
  <c r="B767" i="14"/>
  <c r="B766" i="14"/>
  <c r="B765" i="14"/>
  <c r="B764" i="14"/>
  <c r="B760" i="14"/>
  <c r="B761" i="14"/>
  <c r="B759" i="14"/>
  <c r="B758" i="14"/>
  <c r="B719" i="14"/>
  <c r="B722" i="14"/>
  <c r="B723" i="14"/>
  <c r="B729" i="14"/>
  <c r="B726" i="14"/>
  <c r="B725" i="14"/>
  <c r="B735" i="14"/>
  <c r="B732" i="14"/>
  <c r="B731" i="14"/>
  <c r="B746" i="14"/>
  <c r="B745" i="14"/>
  <c r="B742" i="14"/>
  <c r="B752" i="14"/>
  <c r="B751" i="14"/>
  <c r="B749" i="14"/>
  <c r="B717" i="14"/>
  <c r="B721" i="14"/>
  <c r="B720" i="14"/>
  <c r="B728" i="14"/>
  <c r="B727" i="14"/>
  <c r="B724" i="14"/>
  <c r="B734" i="14"/>
  <c r="B733" i="14"/>
  <c r="B730" i="14"/>
  <c r="B747" i="14"/>
  <c r="B744" i="14"/>
  <c r="B743" i="14"/>
  <c r="B753" i="14"/>
  <c r="B750" i="14"/>
  <c r="B748" i="14"/>
  <c r="B692" i="14"/>
  <c r="B691" i="14"/>
  <c r="B690" i="14"/>
  <c r="B689" i="14"/>
  <c r="B688" i="14"/>
  <c r="B687" i="14"/>
  <c r="B686" i="14"/>
  <c r="B685" i="14"/>
  <c r="B684" i="14"/>
  <c r="B446" i="14"/>
  <c r="B436" i="14"/>
  <c r="B468" i="14"/>
  <c r="B445" i="14"/>
  <c r="B435" i="14"/>
  <c r="B467" i="14"/>
  <c r="B444" i="14"/>
  <c r="B434" i="14"/>
  <c r="B466" i="14"/>
  <c r="B443" i="14"/>
  <c r="B433" i="14"/>
  <c r="B465" i="14"/>
  <c r="B442" i="14"/>
  <c r="B432" i="14"/>
  <c r="B464" i="14"/>
  <c r="B441" i="14"/>
  <c r="B431" i="14"/>
  <c r="B463" i="14"/>
  <c r="B440" i="14"/>
  <c r="B430" i="14"/>
  <c r="B462" i="14"/>
  <c r="B439" i="14"/>
  <c r="B429" i="14"/>
  <c r="B461" i="14"/>
  <c r="B438" i="14"/>
  <c r="B428" i="14"/>
  <c r="B460" i="14"/>
  <c r="B422" i="14"/>
  <c r="B421" i="14"/>
  <c r="B420" i="14"/>
  <c r="B419" i="14"/>
  <c r="B418" i="14"/>
  <c r="B417" i="14"/>
  <c r="B416" i="14"/>
  <c r="B415" i="14"/>
  <c r="B414" i="14"/>
  <c r="B413" i="14"/>
  <c r="B412" i="14"/>
  <c r="B411" i="14"/>
  <c r="B496" i="14"/>
  <c r="B495" i="14"/>
  <c r="B494" i="14"/>
  <c r="B493" i="14"/>
  <c r="B483" i="14"/>
  <c r="B482" i="14"/>
  <c r="B481" i="14"/>
  <c r="B480" i="14"/>
  <c r="B459" i="14"/>
  <c r="B458" i="14"/>
  <c r="B457" i="14"/>
  <c r="B456" i="14"/>
  <c r="B453" i="14"/>
  <c r="B452" i="14"/>
  <c r="B451" i="14"/>
  <c r="B450" i="14"/>
  <c r="L56" i="17" a="1"/>
  <c r="L56" i="17" s="1"/>
  <c r="L55" i="17" a="1"/>
  <c r="L55" i="17" s="1"/>
  <c r="L52" i="17" a="1"/>
  <c r="L52" i="17" s="1"/>
  <c r="L51" i="17" a="1"/>
  <c r="L51" i="17" s="1"/>
  <c r="L50" i="17" a="1"/>
  <c r="L50" i="17" s="1"/>
  <c r="L49" i="17" a="1"/>
  <c r="L49" i="17" s="1"/>
  <c r="L36" i="17" a="1"/>
  <c r="L36" i="17" s="1"/>
  <c r="L35" i="17" a="1"/>
  <c r="L35" i="17" s="1"/>
  <c r="L34" i="17" a="1"/>
  <c r="L34" i="17" s="1"/>
  <c r="L33" i="17" a="1"/>
  <c r="L33" i="17" s="1"/>
  <c r="L32" i="17" a="1"/>
  <c r="L32" i="17" s="1"/>
  <c r="L31" i="17" a="1"/>
  <c r="L31" i="17" s="1"/>
  <c r="L30" i="17" a="1"/>
  <c r="L30" i="17" s="1"/>
  <c r="L28" i="17" a="1"/>
  <c r="L28" i="17" s="1"/>
  <c r="L27" i="17" a="1"/>
  <c r="L27" i="17" s="1"/>
  <c r="L26" i="17" a="1"/>
  <c r="L26" i="17" s="1"/>
  <c r="L25" i="17" a="1"/>
  <c r="L25" i="17" s="1"/>
  <c r="L24" i="17" a="1"/>
  <c r="L24" i="17" s="1"/>
  <c r="L23" i="17" a="1"/>
  <c r="L23" i="17" s="1"/>
  <c r="L22" i="17" a="1"/>
  <c r="L22" i="17" s="1"/>
  <c r="L19" i="17" a="1"/>
  <c r="L19" i="17" s="1"/>
  <c r="L18" i="17" a="1"/>
  <c r="L18" i="17" s="1"/>
  <c r="L17" i="17" a="1"/>
  <c r="L17" i="17" s="1"/>
  <c r="F67" i="7"/>
  <c r="B700" i="14" s="1"/>
  <c r="B598" i="14" l="1"/>
  <c r="B610" i="14"/>
  <c r="B611" i="14"/>
  <c r="B617" i="14"/>
  <c r="B614" i="14"/>
  <c r="B600" i="14"/>
  <c r="B143" i="14"/>
  <c r="B142" i="14"/>
  <c r="B94" i="14"/>
  <c r="B5" i="14"/>
  <c r="B81" i="14"/>
  <c r="B95" i="14"/>
  <c r="G14" i="7"/>
  <c r="G20" i="7" s="1"/>
  <c r="E20" i="7"/>
  <c r="B640" i="14"/>
  <c r="B266" i="14"/>
  <c r="B264" i="14" l="1"/>
  <c r="F20" i="13" a="1"/>
  <c r="F20" i="13" s="1"/>
  <c r="D54" i="13" a="1"/>
  <c r="D54" i="13" s="1"/>
  <c r="B638" i="14"/>
  <c r="B639" i="14"/>
  <c r="C12" i="7" l="1"/>
  <c r="D12" i="7"/>
  <c r="F12" i="7"/>
  <c r="H12" i="7"/>
  <c r="B485" i="14" s="1"/>
  <c r="C19" i="7"/>
  <c r="D19" i="7"/>
  <c r="F19" i="7"/>
  <c r="H19" i="7"/>
  <c r="B477" i="14" s="1"/>
  <c r="D44" i="7"/>
  <c r="E44" i="7"/>
  <c r="F44" i="7"/>
  <c r="F66" i="7"/>
  <c r="C68" i="7"/>
  <c r="D68" i="7"/>
  <c r="D73" i="7" s="1"/>
  <c r="B756" i="14" s="1"/>
  <c r="E68" i="7"/>
  <c r="E73" i="7" s="1"/>
  <c r="B697" i="14" s="1"/>
  <c r="F69" i="7"/>
  <c r="F70" i="7"/>
  <c r="F71" i="7"/>
  <c r="F78" i="7"/>
  <c r="F79" i="7"/>
  <c r="C80" i="7"/>
  <c r="D80" i="7"/>
  <c r="D85" i="7" s="1"/>
  <c r="B696" i="14" s="1"/>
  <c r="E80" i="7"/>
  <c r="E85" i="7" s="1"/>
  <c r="B757" i="14" s="1"/>
  <c r="F81" i="7"/>
  <c r="F82" i="7"/>
  <c r="F83" i="7"/>
  <c r="B716" i="14"/>
  <c r="E91" i="7"/>
  <c r="F91" i="7"/>
  <c r="B736" i="14" l="1"/>
  <c r="C85" i="7"/>
  <c r="B695" i="14" s="1"/>
  <c r="B737" i="14"/>
  <c r="C73" i="7"/>
  <c r="B755" i="14" s="1"/>
  <c r="B718" i="14"/>
  <c r="B488" i="14"/>
  <c r="B707" i="14"/>
  <c r="B705" i="14"/>
  <c r="B763" i="14"/>
  <c r="B698" i="14"/>
  <c r="B711" i="14"/>
  <c r="B487" i="14"/>
  <c r="B424" i="14"/>
  <c r="B714" i="14"/>
  <c r="B713" i="14"/>
  <c r="B762" i="14"/>
  <c r="B447" i="14"/>
  <c r="B486" i="14"/>
  <c r="B426" i="14"/>
  <c r="B423" i="14"/>
  <c r="B427" i="14"/>
  <c r="B740" i="14"/>
  <c r="B489" i="14"/>
  <c r="B739" i="14"/>
  <c r="B706" i="14"/>
  <c r="B437" i="14"/>
  <c r="B715" i="14"/>
  <c r="B701" i="14"/>
  <c r="B704" i="14"/>
  <c r="B469" i="14"/>
  <c r="B712" i="14"/>
  <c r="B699" i="14"/>
  <c r="B741" i="14"/>
  <c r="B710" i="14"/>
  <c r="B738" i="14"/>
  <c r="B425" i="14"/>
  <c r="F84" i="7"/>
  <c r="F80" i="7"/>
  <c r="F72" i="7"/>
  <c r="F68" i="7"/>
  <c r="C23" i="7"/>
  <c r="F14" i="7"/>
  <c r="H14" i="7"/>
  <c r="B498" i="14" s="1"/>
  <c r="C14" i="7"/>
  <c r="D14" i="7"/>
  <c r="F73" i="7" l="1"/>
  <c r="B754" i="14" s="1"/>
  <c r="F85" i="7"/>
  <c r="B694" i="14" s="1"/>
  <c r="B501" i="14"/>
  <c r="B703" i="14"/>
  <c r="B502" i="14"/>
  <c r="B702" i="14"/>
  <c r="B709" i="14"/>
  <c r="B500" i="14"/>
  <c r="C20" i="7"/>
  <c r="B490" i="14"/>
  <c r="B499" i="14"/>
  <c r="B708" i="14"/>
  <c r="F20" i="7"/>
  <c r="H20" i="7"/>
  <c r="C22" i="7"/>
  <c r="D20" i="7"/>
  <c r="C45" i="5"/>
  <c r="D45" i="5"/>
  <c r="E45" i="5"/>
  <c r="K49" i="4"/>
  <c r="K52" i="4"/>
  <c r="F55" i="1"/>
  <c r="B520" i="14" s="1"/>
  <c r="E55" i="1"/>
  <c r="B519" i="14" s="1"/>
  <c r="F50" i="1"/>
  <c r="B513" i="14" s="1"/>
  <c r="E50" i="1"/>
  <c r="B512" i="14" s="1"/>
  <c r="C24" i="7" l="1"/>
  <c r="B683" i="14"/>
  <c r="B675" i="1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<sst xmlns="http://schemas.openxmlformats.org/spreadsheetml/2006/main" count="2385" uniqueCount="1996">
  <si>
    <t>H. FINANCIAL AID</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</si>
  <si>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</si>
  <si>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</si>
  <si>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</si>
  <si>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</si>
  <si>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</si>
  <si>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</si>
  <si>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</si>
  <si>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</si>
  <si>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</si>
  <si>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</si>
  <si>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</si>
  <si>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</si>
  <si>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</si>
  <si>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</si>
  <si>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</si>
  <si>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</si>
  <si>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</si>
  <si>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</si>
  <si>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</si>
  <si>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</si>
  <si>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</si>
  <si>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</si>
  <si>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</si>
  <si>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</si>
  <si>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</si>
  <si>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</si>
  <si>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</si>
  <si>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</si>
  <si>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</si>
  <si>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</si>
  <si>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</si>
  <si>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</si>
  <si>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</si>
  <si>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r>
      <t xml:space="preserve">Which needs-analysis methodology does your institution use in awarding institutional aid? </t>
    </r>
    <r>
      <rPr>
        <b/>
        <sz val="10"/>
        <rFont val="Arial"/>
        <family val="2"/>
      </rPr>
      <t>(Formerly H3)</t>
    </r>
  </si>
  <si>
    <t>Federal methodology (FM)</t>
  </si>
  <si>
    <t>Institutional methodology (IM)</t>
  </si>
  <si>
    <t>Both FM and IM</t>
  </si>
  <si>
    <r>
      <t xml:space="preserve">Need-based
</t>
    </r>
    <r>
      <rPr>
        <sz val="10"/>
        <rFont val="Arial"/>
        <family val="2"/>
      </rPr>
      <t>(Include non-need-based aid use to meet need.)</t>
    </r>
  </si>
  <si>
    <r>
      <t xml:space="preserve">Non-need-based
</t>
    </r>
    <r>
      <rPr>
        <sz val="10"/>
        <rFont val="Arial"/>
        <family val="2"/>
      </rPr>
      <t>(Exclude non-need-based aid use to meet need.)</t>
    </r>
  </si>
  <si>
    <t>Scholarships/Grants</t>
  </si>
  <si>
    <t>Need-based</t>
  </si>
  <si>
    <t>Non-need based</t>
  </si>
  <si>
    <t>Federal</t>
  </si>
  <si>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</si>
  <si>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</si>
  <si>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</si>
  <si>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</si>
  <si>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</si>
  <si>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</si>
  <si>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</si>
  <si>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</si>
  <si>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</si>
  <si>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</si>
  <si>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</si>
  <si>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t>Athletic Awards</t>
  </si>
  <si>
    <t>H2</t>
  </si>
  <si>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</si>
  <si>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t>
    </r>
    <r>
      <rPr>
        <b/>
        <sz val="10"/>
        <rFont val="Arial"/>
        <family val="2"/>
      </rPr>
      <t xml:space="preserve">     Aid that is non-need-based but that was used to meet need should be counted as need-
      based aid.</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</si>
  <si>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</si>
  <si>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</si>
  <si>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Less Than
Full-time
Undergrad</t>
  </si>
  <si>
    <t>A</t>
  </si>
  <si>
    <t>B</t>
  </si>
  <si>
    <r>
      <t xml:space="preserve">Number of students in line </t>
    </r>
    <r>
      <rPr>
        <b/>
        <sz val="9"/>
        <rFont val="Arial"/>
        <family val="2"/>
      </rPr>
      <t>a</t>
    </r>
    <r>
      <rPr>
        <sz val="9"/>
        <rFont val="Arial"/>
        <family val="2"/>
      </rPr>
      <t xml:space="preserve"> who applied for need-based financial aid</t>
    </r>
  </si>
  <si>
    <t>C</t>
  </si>
  <si>
    <r>
      <t xml:space="preserve">Number of students in line </t>
    </r>
    <r>
      <rPr>
        <b/>
        <sz val="9"/>
        <rFont val="Arial"/>
        <family val="2"/>
      </rPr>
      <t>b</t>
    </r>
    <r>
      <rPr>
        <sz val="9"/>
        <rFont val="Arial"/>
        <family val="2"/>
      </rPr>
      <t xml:space="preserve"> who were determined to have financial need</t>
    </r>
  </si>
  <si>
    <t>D</t>
  </si>
  <si>
    <r>
      <t xml:space="preserve">Number of students in line </t>
    </r>
    <r>
      <rPr>
        <b/>
        <sz val="9"/>
        <rFont val="Arial"/>
        <family val="2"/>
      </rPr>
      <t>c</t>
    </r>
    <r>
      <rPr>
        <sz val="9"/>
        <rFont val="Arial"/>
        <family val="2"/>
      </rPr>
      <t xml:space="preserve"> who were awarded any financial aid</t>
    </r>
  </si>
  <si>
    <t>E</t>
  </si>
  <si>
    <r>
      <t xml:space="preserve">Number of students in line </t>
    </r>
    <r>
      <rPr>
        <b/>
        <sz val="9"/>
        <rFont val="Arial"/>
        <family val="2"/>
      </rPr>
      <t>d</t>
    </r>
    <r>
      <rPr>
        <sz val="9"/>
        <rFont val="Arial"/>
        <family val="2"/>
      </rPr>
      <t xml:space="preserve"> who were awarded any need-based scholarship or grant aid</t>
    </r>
  </si>
  <si>
    <t>F</t>
  </si>
  <si>
    <r>
      <t xml:space="preserve">Number of students in line </t>
    </r>
    <r>
      <rPr>
        <b/>
        <sz val="9"/>
        <rFont val="Arial"/>
        <family val="2"/>
      </rPr>
      <t>d</t>
    </r>
    <r>
      <rPr>
        <sz val="9"/>
        <rFont val="Arial"/>
        <family val="2"/>
      </rPr>
      <t xml:space="preserve"> who were awarded any need-based self-help aid</t>
    </r>
  </si>
  <si>
    <t>G</t>
  </si>
  <si>
    <r>
      <t xml:space="preserve">Number of students in line </t>
    </r>
    <r>
      <rPr>
        <b/>
        <sz val="9"/>
        <rFont val="Arial"/>
        <family val="2"/>
      </rPr>
      <t>d</t>
    </r>
    <r>
      <rPr>
        <sz val="9"/>
        <rFont val="Arial"/>
        <family val="2"/>
      </rPr>
      <t xml:space="preserve"> who were awarded any non-need-based scholarship or grant aid</t>
    </r>
  </si>
  <si>
    <t>H</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</si>
  <si>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</si>
  <si>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I</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</si>
  <si>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</si>
  <si>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t>J</t>
  </si>
  <si>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</si>
  <si>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</si>
  <si>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r>
      <t>Average need-based scholarship and grant award of those in line</t>
    </r>
    <r>
      <rPr>
        <b/>
        <sz val="9"/>
        <rFont val="Arial"/>
        <family val="2"/>
      </rPr>
      <t xml:space="preserve"> e</t>
    </r>
  </si>
  <si>
    <t>L</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</si>
  <si>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</si>
  <si>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M</t>
  </si>
  <si>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</si>
  <si>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t>H2A</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</si>
  <si>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</si>
  <si>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</si>
  <si>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N</t>
  </si>
  <si>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</si>
  <si>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</si>
  <si>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rFont val="Arial"/>
        <family val="2"/>
      </rPr>
      <t>n</t>
    </r>
  </si>
  <si>
    <t>P</t>
  </si>
  <si>
    <r>
      <t xml:space="preserve">Number of students in line </t>
    </r>
    <r>
      <rPr>
        <b/>
        <sz val="9"/>
        <rFont val="Arial"/>
        <family val="2"/>
      </rPr>
      <t>a</t>
    </r>
    <r>
      <rPr>
        <sz val="9"/>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</si>
  <si>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</si>
  <si>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</si>
  <si>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</si>
  <si>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</si>
  <si>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</si>
  <si>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</si>
  <si>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</si>
  <si>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</si>
  <si>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</si>
  <si>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</si>
  <si>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</si>
  <si>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</si>
  <si>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</si>
  <si>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</si>
  <si>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</si>
  <si>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</si>
  <si>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</si>
  <si>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</si>
  <si>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</si>
  <si>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</si>
  <si>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</si>
  <si>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</si>
  <si>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</si>
  <si>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</si>
  <si>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</si>
  <si>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</si>
  <si>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</si>
  <si>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</si>
  <si>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</si>
  <si>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</si>
  <si>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</si>
  <si>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</si>
  <si>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</si>
  <si>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</si>
  <si>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Other (specify):</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</si>
  <si>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</si>
  <si>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</si>
  <si>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</si>
  <si>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</si>
  <si>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</si>
  <si>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</si>
  <si>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</si>
  <si>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</si>
  <si>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</si>
  <si>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</si>
  <si>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</si>
  <si>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</si>
  <si>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</si>
  <si>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No</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</si>
  <si>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</si>
  <si>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</si>
  <si>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</si>
  <si>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</si>
  <si>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</si>
  <si>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</si>
  <si>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</si>
  <si>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</si>
  <si>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</si>
  <si>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</si>
  <si>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</si>
  <si>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</si>
  <si>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</si>
  <si>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</si>
  <si>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</si>
  <si>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</si>
  <si>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</si>
  <si>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</si>
  <si>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</si>
  <si>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</si>
  <si>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</si>
  <si>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</si>
  <si>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</si>
  <si>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</si>
  <si>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</si>
  <si>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</si>
  <si>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</si>
  <si>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</si>
  <si>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</si>
  <si>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</si>
  <si>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</si>
  <si>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</si>
  <si>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</si>
  <si>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</si>
  <si>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</si>
  <si>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</si>
  <si>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</si>
  <si>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</si>
  <si>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</si>
  <si>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</si>
  <si>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</si>
  <si>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</si>
  <si>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Answer</t>
  </si>
  <si>
    <t>Other</t>
  </si>
  <si>
    <t>CLASS SUB-SECTIONS</t>
  </si>
  <si>
    <t>Total</t>
  </si>
  <si>
    <t>100+</t>
  </si>
  <si>
    <t>50-99</t>
  </si>
  <si>
    <t>40-49</t>
  </si>
  <si>
    <t>30-39</t>
  </si>
  <si>
    <t>20-29</t>
  </si>
  <si>
    <t>10-19</t>
  </si>
  <si>
    <t>2-9</t>
  </si>
  <si>
    <t>CLASS SECTIONS</t>
  </si>
  <si>
    <t>Undergraduate Class Size (provide numbers)</t>
  </si>
  <si>
    <t>Number of Class Sections with Undergraduates Enrolled</t>
  </si>
  <si>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</si>
  <si>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</si>
  <si>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t>•     Please include classes that have been moved online in response to the COVID-19 pandemic.</t>
  </si>
  <si>
    <t>Undergraduate Class Size</t>
  </si>
  <si>
    <t xml:space="preserve">I-3. </t>
  </si>
  <si>
    <t>faculty).</t>
  </si>
  <si>
    <t>and</t>
  </si>
  <si>
    <t>students</t>
  </si>
  <si>
    <t>(based on</t>
  </si>
  <si>
    <t>to 1</t>
  </si>
  <si>
    <t>• Do not count undergraduate or graduate student teaching assistants as faculty.</t>
  </si>
  <si>
    <t>Student to Faculty Ratio</t>
  </si>
  <si>
    <t>I-2.</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</si>
  <si>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</si>
  <si>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</si>
  <si>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Total number whose highest degree is a bachelor’s</t>
  </si>
  <si>
    <t>Total number whose highest degree is a master’s but not a terminal master’s</t>
  </si>
  <si>
    <t>Total number with doctorate, or other terminal degree</t>
  </si>
  <si>
    <t>Total number who are men</t>
  </si>
  <si>
    <t>Total number who are women</t>
  </si>
  <si>
    <t>Total number who are members of minority groups</t>
  </si>
  <si>
    <t>Total number of instructional faculty</t>
  </si>
  <si>
    <t>Part-Time</t>
  </si>
  <si>
    <t>Full-Time</t>
  </si>
  <si>
    <t>I-1.</t>
  </si>
  <si>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</si>
  <si>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</si>
  <si>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</si>
  <si>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</si>
  <si>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</si>
  <si>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t>Include</t>
  </si>
  <si>
    <t>Replacement faculty for faculty on sabbatical leave or leave with pay</t>
  </si>
  <si>
    <t>Faculty on leave without pay</t>
  </si>
  <si>
    <t>Faculty on sabbatical or leave with pay</t>
  </si>
  <si>
    <t>Undergraduate or graduate students who assist in the instruction of courses, but have titles such as teaching assistant, teaching fellow, and the like</t>
  </si>
  <si>
    <t>Other administrators/staff who teach one or more non-clinical credit courses even though they do not have faculty status</t>
  </si>
  <si>
    <t>Include if they teach one or more non-clinical credit courses</t>
  </si>
  <si>
    <t>Administrative officers with titles such as dean of students, librarian, registrar, coach, and the like, even though they may devote part of their time to classroom instruction and may have faculty status</t>
  </si>
  <si>
    <t>Include only if they teach one or more non-clinical credit courses</t>
  </si>
  <si>
    <t>Instructional faculty in preclinical and clinical medicine, faculty who are not paid (e.g., those who donate their services or are in the military), or research-only faculty, post-doctoral fellows, or pre-doctoral fellows</t>
  </si>
  <si>
    <t>Part-time</t>
  </si>
  <si>
    <t>Full-time</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</si>
  <si>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</si>
  <si>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 INSTRUCTIONAL FACULTY AND CLASS SIZE</t>
  </si>
  <si>
    <t>TOTAL (should = 100%)</t>
  </si>
  <si>
    <t>History</t>
  </si>
  <si>
    <t>Business/marketing</t>
  </si>
  <si>
    <t>Health professions and related programs</t>
  </si>
  <si>
    <t>Visual and performing arts</t>
  </si>
  <si>
    <t>Transportation and materials moving</t>
  </si>
  <si>
    <t>Precision production</t>
  </si>
  <si>
    <t>Mechanic and repair technologies</t>
  </si>
  <si>
    <t>Construction trades</t>
  </si>
  <si>
    <t xml:space="preserve">Social sciences </t>
  </si>
  <si>
    <t>Public administration and social services</t>
  </si>
  <si>
    <t>Homeland Security, law enforcement, firefighting, and protective services</t>
  </si>
  <si>
    <t>Psychology</t>
  </si>
  <si>
    <t>Science technologies</t>
  </si>
  <si>
    <t>Physical sciences</t>
  </si>
  <si>
    <t>Theology and religious vocations</t>
  </si>
  <si>
    <t>Philosophy and religious studies</t>
  </si>
  <si>
    <t>Parks and recreation</t>
  </si>
  <si>
    <t>Interdisciplinary studies</t>
  </si>
  <si>
    <t>28 &amp; 29</t>
  </si>
  <si>
    <t>Military science and military technologies</t>
  </si>
  <si>
    <t>Mathematics and statistics</t>
  </si>
  <si>
    <t>Biological/life sciences</t>
  </si>
  <si>
    <t>Library science</t>
  </si>
  <si>
    <t>Liberal arts/general studies</t>
  </si>
  <si>
    <t>English</t>
  </si>
  <si>
    <t>Law/legal studies</t>
  </si>
  <si>
    <t>Family and consumer sciences</t>
  </si>
  <si>
    <t>Foreign languages, literatures, and linguistics</t>
  </si>
  <si>
    <t>Engineering technologies</t>
  </si>
  <si>
    <t>Engineering</t>
  </si>
  <si>
    <t>Education</t>
  </si>
  <si>
    <t>Personal and culinary services</t>
  </si>
  <si>
    <t>Computer and information sciences</t>
  </si>
  <si>
    <t>Communication technologies</t>
  </si>
  <si>
    <t>09</t>
  </si>
  <si>
    <t>Communication/journalism</t>
  </si>
  <si>
    <t>05</t>
  </si>
  <si>
    <t>Area, ethnic, and gender studies</t>
  </si>
  <si>
    <t>04</t>
  </si>
  <si>
    <t>Architecture</t>
  </si>
  <si>
    <t>03</t>
  </si>
  <si>
    <t>Natural resources and conservation</t>
  </si>
  <si>
    <t>01</t>
  </si>
  <si>
    <t>Agriculture</t>
  </si>
  <si>
    <t>CIP 2020 Categories to Include</t>
  </si>
  <si>
    <t>Bachelor’s</t>
  </si>
  <si>
    <t>Associate</t>
  </si>
  <si>
    <t>Diploma/Certificates</t>
  </si>
  <si>
    <t>Category</t>
  </si>
  <si>
    <t>J1</t>
  </si>
  <si>
    <t>J. Disciplinary areas of DEGREES CONFERRED</t>
  </si>
  <si>
    <t>B22</t>
  </si>
  <si>
    <t>* Death
* Permanent Disability
* Service in the armed forces
* Foreign aid service of the federal government
* Official church missions
* No other adjustments to the initial cohort should be made.</t>
  </si>
  <si>
    <t xml:space="preserve">•      The initial cohort may be adjusted for students who departed for the following reasons:
</t>
  </si>
  <si>
    <t>B22. Retention Rates</t>
  </si>
  <si>
    <t>Total transfers to four-year institutions:</t>
  </si>
  <si>
    <t>B21</t>
  </si>
  <si>
    <t>Total transfers to two-year institutions:</t>
  </si>
  <si>
    <t>B20</t>
  </si>
  <si>
    <t>Total transfers-out (within three years) to other institutions:</t>
  </si>
  <si>
    <t>B19</t>
  </si>
  <si>
    <t>Completers of programs of at least two but less than four-years within 150 percent of normal time:</t>
  </si>
  <si>
    <t>B18</t>
  </si>
  <si>
    <t>Completers of programs of at least two but less than four years (total):</t>
  </si>
  <si>
    <t>B17</t>
  </si>
  <si>
    <t>Completers of programs of less than two years within 150 percent of normal time:</t>
  </si>
  <si>
    <t>B16</t>
  </si>
  <si>
    <t>Completers of programs of less than two years duration (total):</t>
  </si>
  <si>
    <t>B15</t>
  </si>
  <si>
    <t>Final cohort, after adjusting for allowable exclusions:</t>
  </si>
  <si>
    <t>B14</t>
  </si>
  <si>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</si>
  <si>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B13</t>
  </si>
  <si>
    <t>Initial cohort, total of first-time, full-time degree/certificate-seeking students:</t>
  </si>
  <si>
    <t>B12</t>
  </si>
  <si>
    <t>For Two-Year Institutions</t>
  </si>
  <si>
    <t>Total graduating within six years (sum of lines D, E, and F)</t>
  </si>
  <si>
    <r>
      <t xml:space="preserve">Total 
</t>
    </r>
    <r>
      <rPr>
        <sz val="9"/>
        <rFont val="Arial"/>
        <family val="2"/>
      </rPr>
      <t>(sum of 3 columns to the left)</t>
    </r>
  </si>
  <si>
    <t>Students who did not receive either a Pell Grant or a subsidized Stafford Loan</t>
  </si>
  <si>
    <t>Recipients of a Subsidized Stafford Loan who did not receive a Pell Grant</t>
  </si>
  <si>
    <t>Recipients of a Federal Pell Grant</t>
  </si>
  <si>
    <t>For Bachelor’s or Equivalent Programs</t>
  </si>
  <si>
    <t>The items in this section correspond to data elements collected by the IPEDS Web-based Data Collection System’s Graduation Rate Survey (GRS).</t>
  </si>
  <si>
    <t>B4-B21: Graduation Rates</t>
  </si>
  <si>
    <t>Doctoral degrees – other</t>
  </si>
  <si>
    <t>Doctoral degrees – professional practice</t>
  </si>
  <si>
    <t>Doctoral degrees – research/scholarship</t>
  </si>
  <si>
    <t>Post-Master's certificates</t>
  </si>
  <si>
    <t>Master's degrees</t>
  </si>
  <si>
    <t>Postbachelor's certificates</t>
  </si>
  <si>
    <t>Bachelor's degrees</t>
  </si>
  <si>
    <t>Associate degrees</t>
  </si>
  <si>
    <t>Certificate/diploma</t>
  </si>
  <si>
    <t>B3</t>
  </si>
  <si>
    <t>Persistence</t>
  </si>
  <si>
    <t>TOTAL</t>
  </si>
  <si>
    <t>Race and/or ethnicity unknown</t>
  </si>
  <si>
    <t>Two or more races, non-Hispanic</t>
  </si>
  <si>
    <t>Native Hawaiian or other Pacific Islander, non-Hispanic</t>
  </si>
  <si>
    <t>Asian, non-Hispanic</t>
  </si>
  <si>
    <t>American Indian or Alaska Native, non-Hispanic</t>
  </si>
  <si>
    <t>White, non-Hispanic</t>
  </si>
  <si>
    <t>Black or African American, non-Hispanic</t>
  </si>
  <si>
    <t>Hispanic/Latino</t>
  </si>
  <si>
    <r>
      <rPr>
        <b/>
        <sz val="9"/>
        <rFont val="Arial"/>
        <family val="2"/>
      </rPr>
      <t xml:space="preserve">Total
Undergraduates </t>
    </r>
    <r>
      <rPr>
        <sz val="9"/>
        <rFont val="Arial"/>
        <family val="2"/>
      </rPr>
      <t>(both degree- and non-degree-seeking)</t>
    </r>
  </si>
  <si>
    <r>
      <rPr>
        <b/>
        <sz val="9"/>
        <rFont val="Arial"/>
        <family val="2"/>
      </rPr>
      <t xml:space="preserve">Degree-Seeking
Undergraduates </t>
    </r>
    <r>
      <rPr>
        <sz val="9"/>
        <rFont val="Arial"/>
        <family val="2"/>
      </rPr>
      <t>(include first-time first-year)</t>
    </r>
  </si>
  <si>
    <t>Degree-Seeking
First-Time
First Year</t>
  </si>
  <si>
    <t>•     Report as your institution reports to IPEDS: persons who are Hispanic should be reported only on the 
      Hispanic line, not under any race, and persons who are non-Hispanic multi-racial should be reported only 
      under "Two or more races."</t>
  </si>
  <si>
    <t>•     Complete the “Total Undergraduates” column only if you cannot provide data for the first two columns.</t>
  </si>
  <si>
    <t xml:space="preserve">Enrollment by Racial/Ethnic Category. </t>
  </si>
  <si>
    <t>B2</t>
  </si>
  <si>
    <t>GRAND TOTAL ALL STUDENTS</t>
  </si>
  <si>
    <t>Total all graduate</t>
  </si>
  <si>
    <t>Total all undergraduates</t>
  </si>
  <si>
    <t>Total all students</t>
  </si>
  <si>
    <t>Total graduate</t>
  </si>
  <si>
    <t>All other graduates enrolled in credit courses</t>
  </si>
  <si>
    <t>All other degree-seeking</t>
  </si>
  <si>
    <t>Degree-seeking, first-time</t>
  </si>
  <si>
    <t>Graduate</t>
  </si>
  <si>
    <t xml:space="preserve">Total undergraduates </t>
  </si>
  <si>
    <t>All other undergraduates enrolled in credit courses</t>
  </si>
  <si>
    <t>Total degree-seeking</t>
  </si>
  <si>
    <t xml:space="preserve">Other first-year, degree-seeking </t>
  </si>
  <si>
    <t>Undergraduates</t>
  </si>
  <si>
    <t>Women</t>
  </si>
  <si>
    <t>Men</t>
  </si>
  <si>
    <t>PART-TIME</t>
  </si>
  <si>
    <t>FULL-TIME</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</si>
  <si>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</si>
  <si>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Institutional Enrollment - Men and Women </t>
  </si>
  <si>
    <t>B1</t>
  </si>
  <si>
    <t>B. ENROLLMENT AND PERSISTENCE</t>
  </si>
  <si>
    <t>Out-of-state:</t>
  </si>
  <si>
    <t>In-state (out-of-district):</t>
  </si>
  <si>
    <t>In-district:</t>
  </si>
  <si>
    <t>PUBLIC INSTITUTIONS:</t>
  </si>
  <si>
    <t>PRIVATE INSTITUTIONS:</t>
  </si>
  <si>
    <t xml:space="preserve">Undergraduate per-credit-hour charges (tuition only): </t>
  </si>
  <si>
    <t>G6</t>
  </si>
  <si>
    <t>* If your college cannot provide separate room and board figures for commuters not living at home</t>
  </si>
  <si>
    <t>Other expenses:</t>
  </si>
  <si>
    <t>Transportation:</t>
  </si>
  <si>
    <t>Room and board total*</t>
  </si>
  <si>
    <t>Board only:</t>
  </si>
  <si>
    <t>Room only:</t>
  </si>
  <si>
    <t>Books and supplies:</t>
  </si>
  <si>
    <t>Commuters
(not living at home)</t>
  </si>
  <si>
    <t>Commuters
(living at home)</t>
  </si>
  <si>
    <t>Residents</t>
  </si>
  <si>
    <t>Provide the estimated expenses for a typical full-time undergraduate student:</t>
  </si>
  <si>
    <t>G5</t>
  </si>
  <si>
    <t>If yes, what percentage of full-time undergraduates pay more than the tuition and fees reported in G1?</t>
  </si>
  <si>
    <t xml:space="preserve">Do tuition and fees vary by undergraduate instructional program?                         </t>
  </si>
  <si>
    <t>G4</t>
  </si>
  <si>
    <t>Do tuition and fees vary by year of study (e.g., sophomore, junior, senior)?</t>
  </si>
  <si>
    <t>G3</t>
  </si>
  <si>
    <t>Number of credits per term a student can take for the stated full-time tuition.</t>
  </si>
  <si>
    <t>G2</t>
  </si>
  <si>
    <t>Maximum</t>
  </si>
  <si>
    <t>Minimum</t>
  </si>
  <si>
    <t>Other:</t>
  </si>
  <si>
    <t xml:space="preserve">Comprehensive tuition and room and board fee (if your college cannot provide separate tuition and room and board fees):
</t>
  </si>
  <si>
    <t>Board Only (on-campus meal plan):</t>
  </si>
  <si>
    <t>Room Only (on-campus):</t>
  </si>
  <si>
    <t>Room and Board (on-campus):</t>
  </si>
  <si>
    <t>Required Fees</t>
  </si>
  <si>
    <t>FOR ALL INSTITUTIONS</t>
  </si>
  <si>
    <t>Tuition: Out-of-state:</t>
  </si>
  <si>
    <t>Tuition: In-state (out-of-district):</t>
  </si>
  <si>
    <t>Tuition: In-district</t>
  </si>
  <si>
    <t>PUBLIC INSTITUTIONS</t>
  </si>
  <si>
    <t>Tuition:</t>
  </si>
  <si>
    <t>PRIVATE INSTITUTIONS</t>
  </si>
  <si>
    <t>First-Year</t>
  </si>
  <si>
    <t>G1</t>
  </si>
  <si>
    <r>
      <t xml:space="preserve">•     Do </t>
    </r>
    <r>
      <rPr>
        <b/>
        <i/>
        <sz val="10"/>
        <color indexed="8"/>
        <rFont val="Arial"/>
        <family val="2"/>
      </rPr>
      <t>not</t>
    </r>
    <r>
      <rPr>
        <sz val="10"/>
        <color indexed="8"/>
        <rFont val="Arial"/>
        <family val="2"/>
      </rPr>
      <t xml:space="preserve"> include optional fees (e.g., parking, laboratory use).</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</si>
  <si>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</si>
  <si>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 xml:space="preserve">•     Room and board is defined as double occupancy and 19 meals per week or the maximum meal plan. </t>
  </si>
  <si>
    <t>Undergraduate full-time tuition, required fees, room and board</t>
  </si>
  <si>
    <t>Please provide the URL of your institution’s net price calculator:</t>
  </si>
  <si>
    <t>G0</t>
  </si>
  <si>
    <t>G. ANNUAL EXPENSES</t>
  </si>
  <si>
    <t>Describe other military/veteran transfer credit policies unique to your institution:</t>
  </si>
  <si>
    <t>D22</t>
  </si>
  <si>
    <t>If yes, please provide the URL where the policy can be located:</t>
  </si>
  <si>
    <t>Are the military/veteran credit transfer policies published on your website?</t>
  </si>
  <si>
    <t>D21</t>
  </si>
  <si>
    <t>Maximum number of credits or courses that may be transferred based on Department of Defense supported prior learning assessments (College Level Examination Program (CLEP) or DANTES Subject Standardized Tests (DSST)):</t>
  </si>
  <si>
    <t>D20</t>
  </si>
  <si>
    <t>Unit Type</t>
  </si>
  <si>
    <t>Number</t>
  </si>
  <si>
    <t xml:space="preserve">Maximum number of credits or courses that may be transferred based on military education evaluated by the American Council on Education (ACE): </t>
  </si>
  <si>
    <t>D19</t>
  </si>
  <si>
    <t>DANTES Subject Standardized Tests (DSST)</t>
  </si>
  <si>
    <t>College Level Examination Program (CLEP)</t>
  </si>
  <si>
    <t>American Council on Education (ACE)</t>
  </si>
  <si>
    <t>Does your institution accept the following military/veteran transfer credits:</t>
  </si>
  <si>
    <t>D18</t>
  </si>
  <si>
    <t>D18-D22: Military Service Transfer Credit Policies</t>
  </si>
  <si>
    <t>Describe other transfer credit policies:</t>
  </si>
  <si>
    <t>D17</t>
  </si>
  <si>
    <t>Minimum number of credits that transfers must complete at your institution to earn a bachelor’s degree:</t>
  </si>
  <si>
    <t>D16</t>
  </si>
  <si>
    <t>Minimum number of credits that transfers must complete at your institution to earn an associate degree:</t>
  </si>
  <si>
    <t>D15</t>
  </si>
  <si>
    <t>Maximum number of credits or courses that may be transferred from a four-year institution:</t>
  </si>
  <si>
    <t>D14</t>
  </si>
  <si>
    <t>Maximum number of credits or courses that may be transferred from a two-year institution:</t>
  </si>
  <si>
    <t>D13</t>
  </si>
  <si>
    <t xml:space="preserve">Report the lowest grade earned for any course that may be transferred for credit:  </t>
  </si>
  <si>
    <t>D12</t>
  </si>
  <si>
    <t>D12-D17: Transfer Credit Policies</t>
  </si>
  <si>
    <t xml:space="preserve">Describe additional requirements for transfer admission, if applicable: </t>
  </si>
  <si>
    <t>D11</t>
  </si>
  <si>
    <t>Does an open admission policy, if reported, apply to transfer students?</t>
  </si>
  <si>
    <t>D10</t>
  </si>
  <si>
    <t>Summer</t>
  </si>
  <si>
    <t>D9</t>
  </si>
  <si>
    <t>Spring</t>
  </si>
  <si>
    <t>Winter</t>
  </si>
  <si>
    <t>Fall</t>
  </si>
  <si>
    <t>Rolling Admission</t>
  </si>
  <si>
    <t>Reply Date</t>
  </si>
  <si>
    <t>Notification Date</t>
  </si>
  <si>
    <t>Closing Date</t>
  </si>
  <si>
    <t>Priority Date</t>
  </si>
  <si>
    <t>Summer - Rolling Admission</t>
  </si>
  <si>
    <t>Spring - Rolling Admission</t>
  </si>
  <si>
    <t>Winter - Rolling Admission</t>
  </si>
  <si>
    <t>Fall - Rolling Admission</t>
  </si>
  <si>
    <t>List application priority, closing, notification, and candidate reply dates for transfer students. If applications are reviewed on a continuous or rolling basis, place a check mark in the “Rolling admission” column.</t>
  </si>
  <si>
    <t>List any other application requirements specific to transfer applicants:</t>
  </si>
  <si>
    <t>D8</t>
  </si>
  <si>
    <t xml:space="preserve">If a minimum college grade point average is required of transfer applicants, specify (on a 4.0 scale):
</t>
  </si>
  <si>
    <t>D7</t>
  </si>
  <si>
    <t>If a minimum high school grade point average is required of transfer applicants, specify (on a 4.0 scale):</t>
  </si>
  <si>
    <t>D6</t>
  </si>
  <si>
    <t>Statement of good standing from prior institution(s)</t>
  </si>
  <si>
    <t>Standardized test scores</t>
  </si>
  <si>
    <t>Interview</t>
  </si>
  <si>
    <t>Essay or personal statement</t>
  </si>
  <si>
    <t>College transcript(s)</t>
  </si>
  <si>
    <t>High school transcript</t>
  </si>
  <si>
    <t>Not Required</t>
  </si>
  <si>
    <t>Required of Some</t>
  </si>
  <si>
    <t>Recommended
of Some</t>
  </si>
  <si>
    <t>Recommended
of All</t>
  </si>
  <si>
    <t>Required of All</t>
  </si>
  <si>
    <t>Indicate all items required of transfer students to apply for admission:</t>
  </si>
  <si>
    <t>D5</t>
  </si>
  <si>
    <t xml:space="preserve">If yes, what is the minimum number of credits and the unit of measure?  </t>
  </si>
  <si>
    <t>D4</t>
  </si>
  <si>
    <t>Indicate terms for which transfers may enroll:</t>
  </si>
  <si>
    <t>D3</t>
  </si>
  <si>
    <t>D3-D11: Application for Admission</t>
  </si>
  <si>
    <t>Enrolled Applicants</t>
  </si>
  <si>
    <t>Admitted Applicants</t>
  </si>
  <si>
    <t>Applicants</t>
  </si>
  <si>
    <t>D2</t>
  </si>
  <si>
    <t>If yes, may transfer students earn advanced standing credit by transferring credits earned from course work completed at other colleges/universities?</t>
  </si>
  <si>
    <t>Does your institution enroll transfer students? (If no, please skip to Section E)</t>
  </si>
  <si>
    <t>D1</t>
  </si>
  <si>
    <t>D1-D2: Fall Applicants</t>
  </si>
  <si>
    <t>D. TRANSFER ADMISSION</t>
  </si>
  <si>
    <t>Doctoral degree -- other</t>
  </si>
  <si>
    <t>A5</t>
  </si>
  <si>
    <t>Doctoral degree – professional practice</t>
  </si>
  <si>
    <t>Doctoral degree research/scholarship</t>
  </si>
  <si>
    <t>Post-master's certificate</t>
  </si>
  <si>
    <t>Master's</t>
  </si>
  <si>
    <t>Postbachelor's certificate</t>
  </si>
  <si>
    <t>Bachelor's</t>
  </si>
  <si>
    <t>Terminal Associate</t>
  </si>
  <si>
    <t>Transfer Associate</t>
  </si>
  <si>
    <t>Diploma</t>
  </si>
  <si>
    <t>Certificate</t>
  </si>
  <si>
    <t>Degrees offered by your institution:</t>
  </si>
  <si>
    <t>Describe if differs by program or other:</t>
  </si>
  <si>
    <t xml:space="preserve">Other </t>
  </si>
  <si>
    <t>Differs by program</t>
  </si>
  <si>
    <t>Continuous</t>
  </si>
  <si>
    <t>4-1-4</t>
  </si>
  <si>
    <t>Trimester</t>
  </si>
  <si>
    <t>Quarter</t>
  </si>
  <si>
    <t>Semester</t>
  </si>
  <si>
    <t>A4</t>
  </si>
  <si>
    <t>Women's college</t>
  </si>
  <si>
    <t>Men's college</t>
  </si>
  <si>
    <t>Coeducational college</t>
  </si>
  <si>
    <t>A3</t>
  </si>
  <si>
    <t>Proprietary</t>
  </si>
  <si>
    <t>Private (nonprofit)</t>
  </si>
  <si>
    <t>Public</t>
  </si>
  <si>
    <r>
      <t xml:space="preserve">Source of institutional control </t>
    </r>
    <r>
      <rPr>
        <sz val="10"/>
        <rFont val="Arial"/>
        <family val="2"/>
      </rPr>
      <t>(Check only one)</t>
    </r>
    <r>
      <rPr>
        <b/>
        <sz val="10"/>
        <rFont val="Arial"/>
        <family val="2"/>
      </rPr>
      <t>:</t>
    </r>
  </si>
  <si>
    <t>A2</t>
  </si>
  <si>
    <t>If you have a mailing address other than the above to which applications should be sent, please provide:</t>
  </si>
  <si>
    <t>If there is a separate URL for your school’s online application, please specify:</t>
  </si>
  <si>
    <t>Admissions E-mail Address:</t>
  </si>
  <si>
    <t>Admissions Fax Number:</t>
  </si>
  <si>
    <t>Zip:</t>
  </si>
  <si>
    <t>Country:</t>
  </si>
  <si>
    <t>State:</t>
  </si>
  <si>
    <t>City:</t>
  </si>
  <si>
    <t>Admissions Office Mailing Address:</t>
  </si>
  <si>
    <t>Admissions Toll-Free Phone Number:</t>
  </si>
  <si>
    <t>Admissions Phone Number:</t>
  </si>
  <si>
    <t>WWW Home Page Address:</t>
  </si>
  <si>
    <t>Main Phone Number:</t>
  </si>
  <si>
    <t>Main Phone Area Code:</t>
  </si>
  <si>
    <t>City/State/Zip/Country:</t>
  </si>
  <si>
    <t>Street Address (if different):</t>
  </si>
  <si>
    <t>Mailing Address:</t>
  </si>
  <si>
    <t>Name of College/University:</t>
  </si>
  <si>
    <t>Address Information</t>
  </si>
  <si>
    <t>A1</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</si>
  <si>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</si>
  <si>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A0A</t>
  </si>
  <si>
    <t>If yes, please provide the URL of the corresponding Web page:</t>
  </si>
  <si>
    <t>Are your responses to the CDS posted for reference on your institution's Web site?</t>
  </si>
  <si>
    <t>E-mail Address:</t>
  </si>
  <si>
    <t>Fax Phone Number:</t>
  </si>
  <si>
    <t>Fax Area Code:</t>
  </si>
  <si>
    <t>Phone Number:</t>
  </si>
  <si>
    <t>Area Code:</t>
  </si>
  <si>
    <t>Office:</t>
  </si>
  <si>
    <t>Title:</t>
  </si>
  <si>
    <t>Last Name:</t>
  </si>
  <si>
    <t>First Name:</t>
  </si>
  <si>
    <t>Respondent Information (Not for Publication)</t>
  </si>
  <si>
    <t>A0</t>
  </si>
  <si>
    <t>A.  General Information</t>
  </si>
  <si>
    <t>7_27_124_768</t>
  </si>
  <si>
    <t>7_27_124_766</t>
  </si>
  <si>
    <t>7_27_124_763</t>
  </si>
  <si>
    <t>7_26_123_2778</t>
  </si>
  <si>
    <t xml:space="preserve"> </t>
  </si>
  <si>
    <t>7_26_123_761</t>
  </si>
  <si>
    <t>7_26_188_2744</t>
  </si>
  <si>
    <t>7_26_188_2743</t>
  </si>
  <si>
    <t>7_26_188_2739</t>
  </si>
  <si>
    <t>7_26_188_2733</t>
  </si>
  <si>
    <t>7_26_188_2726</t>
  </si>
  <si>
    <t>7_26_188_2729</t>
  </si>
  <si>
    <t>7_26_188_2728</t>
  </si>
  <si>
    <t>7_26_188_2727</t>
  </si>
  <si>
    <t>7_26_188_2723</t>
  </si>
  <si>
    <t>7_26_188_2722</t>
  </si>
  <si>
    <t>Other (describe):</t>
  </si>
  <si>
    <t>Social science</t>
  </si>
  <si>
    <t>Sciences (biological or physical)</t>
  </si>
  <si>
    <t>Philosophy</t>
  </si>
  <si>
    <t>Mathematics</t>
  </si>
  <si>
    <t>Humanities</t>
  </si>
  <si>
    <t>Foreign languages</t>
  </si>
  <si>
    <t>English (including composition)</t>
  </si>
  <si>
    <t>Computer literacy</t>
  </si>
  <si>
    <t>Areas in which all or most students are required to complete some course work prior to graduation:</t>
  </si>
  <si>
    <t>E3</t>
  </si>
  <si>
    <t>Weekend college</t>
  </si>
  <si>
    <t>Teacher certification program</t>
  </si>
  <si>
    <t>Study abroad</t>
  </si>
  <si>
    <t>Student-designed major</t>
  </si>
  <si>
    <t>Liberal arts/career combination</t>
  </si>
  <si>
    <t>Internships</t>
  </si>
  <si>
    <t>Independent study</t>
  </si>
  <si>
    <t>Honors Program</t>
  </si>
  <si>
    <t>External degree program</t>
  </si>
  <si>
    <t>Exchange student program (domestic)</t>
  </si>
  <si>
    <t>English as a Second Language (ESL)</t>
  </si>
  <si>
    <t>Dual enrollment</t>
  </si>
  <si>
    <t>Double major</t>
  </si>
  <si>
    <t>Distance learning</t>
  </si>
  <si>
    <t>Cross-registration</t>
  </si>
  <si>
    <t>Accelerated program</t>
  </si>
  <si>
    <r>
      <t xml:space="preserve">Special study options: </t>
    </r>
    <r>
      <rPr>
        <sz val="10"/>
        <rFont val="Arial"/>
        <family val="2"/>
      </rPr>
      <t>Identify those programs available at your institution. Refer to the glossary for definitions.</t>
    </r>
  </si>
  <si>
    <t>E1</t>
  </si>
  <si>
    <t>E. ACADEMIC OFFERINGS AND POLICIES</t>
  </si>
  <si>
    <t>3_12_59_316</t>
  </si>
  <si>
    <t>3_12_59_315</t>
  </si>
  <si>
    <t>3_9_48_254</t>
  </si>
  <si>
    <t>3_9_48_253</t>
  </si>
  <si>
    <t>Other housing options (specify):</t>
  </si>
  <si>
    <t>Wellness housing</t>
  </si>
  <si>
    <t>Theme housing</t>
  </si>
  <si>
    <t>Cooperative housing</t>
  </si>
  <si>
    <t>Fraternity/sorority housing</t>
  </si>
  <si>
    <t>Special housing for international students</t>
  </si>
  <si>
    <t>Special housing for disabled students</t>
  </si>
  <si>
    <t>Apartments for single students</t>
  </si>
  <si>
    <t>Apartments for married students</t>
  </si>
  <si>
    <r>
      <t xml:space="preserve">Housing: </t>
    </r>
    <r>
      <rPr>
        <sz val="10"/>
        <rFont val="Arial"/>
        <family val="2"/>
      </rPr>
      <t>Check all types of college-owned, -operated, or -affiliated housing available for undergraduates at your institution.</t>
    </r>
  </si>
  <si>
    <t>F4</t>
  </si>
  <si>
    <t>Air Force ROTC is offered:</t>
  </si>
  <si>
    <t>Naval ROTC is offered:</t>
  </si>
  <si>
    <t>Army ROTC is offered:</t>
  </si>
  <si>
    <t>Name of Cooperating Institution</t>
  </si>
  <si>
    <t xml:space="preserve">At Cooperating Institution </t>
  </si>
  <si>
    <t>On Campus</t>
  </si>
  <si>
    <r>
      <t xml:space="preserve">ROTC </t>
    </r>
    <r>
      <rPr>
        <sz val="10"/>
        <rFont val="Arial"/>
        <family val="2"/>
      </rPr>
      <t>(program offered in cooperation with Reserve Officers' Training Corps)</t>
    </r>
  </si>
  <si>
    <t>F3</t>
  </si>
  <si>
    <t>Yearbook</t>
  </si>
  <si>
    <t>Television station</t>
  </si>
  <si>
    <t>Symphony orchestra</t>
  </si>
  <si>
    <t>Student-run film society</t>
  </si>
  <si>
    <t>Student newspaper</t>
  </si>
  <si>
    <t>Student government</t>
  </si>
  <si>
    <t>Radio station</t>
  </si>
  <si>
    <t>Pep band</t>
  </si>
  <si>
    <t>Opera</t>
  </si>
  <si>
    <t>Musical theater</t>
  </si>
  <si>
    <t>Music ensembles</t>
  </si>
  <si>
    <t>Model UN</t>
  </si>
  <si>
    <t>Marching band</t>
  </si>
  <si>
    <t>Literary magazine</t>
  </si>
  <si>
    <t>Jazz band</t>
  </si>
  <si>
    <t>International Student Organization</t>
  </si>
  <si>
    <t>Drama/theater</t>
  </si>
  <si>
    <t>Dance</t>
  </si>
  <si>
    <t>Concert band</t>
  </si>
  <si>
    <t>Choral groups</t>
  </si>
  <si>
    <t>Campus Ministries</t>
  </si>
  <si>
    <r>
      <t xml:space="preserve">Activities offered. </t>
    </r>
    <r>
      <rPr>
        <sz val="10"/>
        <rFont val="Arial"/>
        <family val="2"/>
      </rPr>
      <t xml:space="preserve">Identify those programs available at your institution. </t>
    </r>
  </si>
  <si>
    <t>F2</t>
  </si>
  <si>
    <t>Average age of all students (full- and part-time)</t>
  </si>
  <si>
    <t>Average age of full-time students</t>
  </si>
  <si>
    <t>Percent of students age 25 and older</t>
  </si>
  <si>
    <t>Percent who live off campus or commute</t>
  </si>
  <si>
    <t>Percent who live in college-owned, -operated, or -affiliated housing</t>
  </si>
  <si>
    <t>Percent of women who join sororities</t>
  </si>
  <si>
    <t>Percent of men who join fraternities</t>
  </si>
  <si>
    <t>F1</t>
  </si>
  <si>
    <t>F. STUDENT LIFE</t>
  </si>
  <si>
    <t>10_35_139_846</t>
  </si>
  <si>
    <t>10_36_141_851</t>
  </si>
  <si>
    <t>10_36_141_850</t>
  </si>
  <si>
    <t>10_36_141_849</t>
  </si>
  <si>
    <t>10_36_140_848</t>
  </si>
  <si>
    <t>10_34_138_2791</t>
  </si>
  <si>
    <t>10_34_137_2792</t>
  </si>
  <si>
    <t>10_34_138_2790</t>
  </si>
  <si>
    <t>10_34_137_2793</t>
  </si>
  <si>
    <t>10_34_138_845</t>
  </si>
  <si>
    <t>10_34_137_839</t>
  </si>
  <si>
    <t>10_34_138_844</t>
  </si>
  <si>
    <t>10_34_137_838</t>
  </si>
  <si>
    <t>10_34_138_843</t>
  </si>
  <si>
    <t>10_34_137_837</t>
  </si>
  <si>
    <t>10_34_138_842</t>
  </si>
  <si>
    <t>10_34_137_836</t>
  </si>
  <si>
    <t>10_34_138_841</t>
  </si>
  <si>
    <t>10_34_137_835</t>
  </si>
  <si>
    <t>10_34_138_840</t>
  </si>
  <si>
    <t>10_34_137_834</t>
  </si>
  <si>
    <t>Neither require nor recommend</t>
  </si>
  <si>
    <t>Recommend</t>
  </si>
  <si>
    <t>Require</t>
  </si>
  <si>
    <t>Does your institution require or recommend a general college-preparatory program for degree-seeking students?</t>
  </si>
  <si>
    <t>C4</t>
  </si>
  <si>
    <t>High school diploma or equivalent is not required</t>
  </si>
  <si>
    <t>High school diploma is required and GED is not accepted</t>
  </si>
  <si>
    <t>High school diploma is required and GED is accepted</t>
  </si>
  <si>
    <t>High school completion requirement</t>
  </si>
  <si>
    <t>C3</t>
  </si>
  <si>
    <t>C3-C5: Admission Requirements</t>
  </si>
  <si>
    <t>Do you release that information to school counselors?</t>
  </si>
  <si>
    <t>If yes, do you release that information to students?</t>
  </si>
  <si>
    <t>Is your waiting list ranked?</t>
  </si>
  <si>
    <t>Number accepting a place on the waiting list:</t>
  </si>
  <si>
    <t>Number of qualified applicants offered a place on waiting list:</t>
  </si>
  <si>
    <t>WAITING LIST</t>
  </si>
  <si>
    <t>Do you have a policy of placing students on a waiting list?</t>
  </si>
  <si>
    <t>Students who met admission requirements but whose final admission was contingent on space availability</t>
  </si>
  <si>
    <t>C2</t>
  </si>
  <si>
    <t>Total first-time, first-year (degree-seeking) who enrolled</t>
  </si>
  <si>
    <t>Total first-time, first-year (degree-seeking) who were admitted</t>
  </si>
  <si>
    <t>Total first-time, first-year (degree-seeking) who applied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</si>
  <si>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</si>
  <si>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     Include early decision, early action, and students who began studies during summer in this cohort.</t>
  </si>
  <si>
    <t>C1</t>
  </si>
  <si>
    <t>C1-C2: Applications</t>
  </si>
  <si>
    <t>1_2_9_31</t>
  </si>
  <si>
    <t>1_2_183_2681</t>
  </si>
  <si>
    <t>1_2_7_24</t>
  </si>
  <si>
    <t>1_2_7_23</t>
  </si>
  <si>
    <t>1_2_7_22</t>
  </si>
  <si>
    <t>1_2_7_21</t>
  </si>
  <si>
    <t>1_2_7_20</t>
  </si>
  <si>
    <t>1_2_7_19</t>
  </si>
  <si>
    <t>1_2_7_17</t>
  </si>
  <si>
    <t>5_15_72_380</t>
  </si>
  <si>
    <t>5_15_72_379</t>
  </si>
  <si>
    <t>5_15_72_378</t>
  </si>
  <si>
    <t>5_15_71_377</t>
  </si>
  <si>
    <t>5_15_71_375</t>
  </si>
  <si>
    <t>5_15_71_376</t>
  </si>
  <si>
    <t>5_15_71_374</t>
  </si>
  <si>
    <t>5_15_70_373</t>
  </si>
  <si>
    <t>5_15_70_372</t>
  </si>
  <si>
    <t>5_15_69_371</t>
  </si>
  <si>
    <t>5_15_69_370</t>
  </si>
  <si>
    <t>Survey Map</t>
  </si>
  <si>
    <t>Arts/Fine Arts</t>
  </si>
  <si>
    <t>9_30_128_813</t>
  </si>
  <si>
    <t>9_30_128_814</t>
  </si>
  <si>
    <t>9_30_128_815</t>
  </si>
  <si>
    <t>9_30_128_816</t>
  </si>
  <si>
    <t>9_30_128_817</t>
  </si>
  <si>
    <t>9_30_128_818</t>
  </si>
  <si>
    <t>9_30_128_819</t>
  </si>
  <si>
    <t>9_30_128_820</t>
  </si>
  <si>
    <t>9_30_128_821</t>
  </si>
  <si>
    <t>9_33_133_3011</t>
  </si>
  <si>
    <t>9_33_133_3013</t>
  </si>
  <si>
    <t>9_33_133_3016</t>
  </si>
  <si>
    <t>9_33_133_2906</t>
  </si>
  <si>
    <t>9_33_133_3006</t>
  </si>
  <si>
    <t>9_33_133_3007</t>
  </si>
  <si>
    <t>9_33_133_3010</t>
  </si>
  <si>
    <t>9_33_133_2909</t>
  </si>
  <si>
    <t>9_33_133_3000</t>
  </si>
  <si>
    <t>9_33_133_3001</t>
  </si>
  <si>
    <t>9_33_133_3004</t>
  </si>
  <si>
    <t>9_33_133_2912</t>
  </si>
  <si>
    <t>9_33_133_2993</t>
  </si>
  <si>
    <t>9_33_133_2996</t>
  </si>
  <si>
    <t>9_33_133_2997</t>
  </si>
  <si>
    <t>9_33_133_2915</t>
  </si>
  <si>
    <t>9_33_133_3012</t>
  </si>
  <si>
    <t>9_33_133_3014</t>
  </si>
  <si>
    <t>9_33_133_3015</t>
  </si>
  <si>
    <t>9_33_133_2907</t>
  </si>
  <si>
    <t>9_33_133_3005</t>
  </si>
  <si>
    <t>9_33_133_3008</t>
  </si>
  <si>
    <t>9_33_133_3009</t>
  </si>
  <si>
    <t>9_33_133_2910</t>
  </si>
  <si>
    <t>9_33_133_2999</t>
  </si>
  <si>
    <t>9_33_133_3002</t>
  </si>
  <si>
    <t>9_33_133_3003</t>
  </si>
  <si>
    <t>9_33_133_2913</t>
  </si>
  <si>
    <t>9_33_133_2994</t>
  </si>
  <si>
    <t>9_33_133_2995</t>
  </si>
  <si>
    <t>9_33_133_2998</t>
  </si>
  <si>
    <t>9_33_133_2916</t>
  </si>
  <si>
    <t>9_33_133_2987</t>
  </si>
  <si>
    <t>9_33_133_2990</t>
  </si>
  <si>
    <t>9_33_133_2991</t>
  </si>
  <si>
    <t>9_33_133_2918</t>
  </si>
  <si>
    <t>9_33_133_2983</t>
  </si>
  <si>
    <t>9_33_133_2984</t>
  </si>
  <si>
    <t>9_33_133_2980</t>
  </si>
  <si>
    <t>9_33_133_2972</t>
  </si>
  <si>
    <t>9_33_133_2976</t>
  </si>
  <si>
    <t>9_33_133_2977</t>
  </si>
  <si>
    <t>9_33_133_2981</t>
  </si>
  <si>
    <t>9_33_133_2920</t>
  </si>
  <si>
    <t>9_33_133_830</t>
  </si>
  <si>
    <t>9_33_133_2988</t>
  </si>
  <si>
    <t>9_33_133_2989</t>
  </si>
  <si>
    <t>9_33_133_2992</t>
  </si>
  <si>
    <t>9_33_133_2919</t>
  </si>
  <si>
    <t>9_33_133_2986</t>
  </si>
  <si>
    <t>9_33_133_2985</t>
  </si>
  <si>
    <t>9_33_133_2982</t>
  </si>
  <si>
    <t>9_33_133_2971</t>
  </si>
  <si>
    <t>9_33_133_2975</t>
  </si>
  <si>
    <t>9_33_133_2978</t>
  </si>
  <si>
    <t>9_33_133_2979</t>
  </si>
  <si>
    <t>9_33_133_2921</t>
  </si>
  <si>
    <t>9_33_133_2561</t>
  </si>
  <si>
    <t>9_33_197_2923</t>
  </si>
  <si>
    <t>9_33_197_2924</t>
  </si>
  <si>
    <t>9_33_197_2927</t>
  </si>
  <si>
    <t>9_33_197_2929</t>
  </si>
  <si>
    <t>9_33_197_2930</t>
  </si>
  <si>
    <t>9_33_197_2932</t>
  </si>
  <si>
    <t>9_33_197_2933</t>
  </si>
  <si>
    <t>9_33_197_2935</t>
  </si>
  <si>
    <t>9_33_197_2936</t>
  </si>
  <si>
    <t>9_33_197_2938</t>
  </si>
  <si>
    <t>9_33_197_2939</t>
  </si>
  <si>
    <t>9_33_197_2943</t>
  </si>
  <si>
    <t>9_33_197_2944</t>
  </si>
  <si>
    <t>9_33_197_2946</t>
  </si>
  <si>
    <t>9_33_197_2947</t>
  </si>
  <si>
    <t>9_33_197_2952</t>
  </si>
  <si>
    <t>9_33_197_2953</t>
  </si>
  <si>
    <t>9_33_197_2950</t>
  </si>
  <si>
    <t>9_33_197_2949</t>
  </si>
  <si>
    <t>9_32_131_828</t>
  </si>
  <si>
    <t>9_33_197_2926</t>
  </si>
  <si>
    <t>5_18_66_352</t>
  </si>
  <si>
    <t>5_18_66_353</t>
  </si>
  <si>
    <t>5_18_66_354</t>
  </si>
  <si>
    <t>5_18_66_355</t>
  </si>
  <si>
    <t>5_18_67_356</t>
  </si>
  <si>
    <t>5_18_67_357</t>
  </si>
  <si>
    <t>5_18_67_358</t>
  </si>
  <si>
    <t>5_18_67_359</t>
  </si>
  <si>
    <t>5_18_95_496</t>
  </si>
  <si>
    <t>5_18_95_497</t>
  </si>
  <si>
    <t>5_18_95_498</t>
  </si>
  <si>
    <t>5_18_95_499</t>
  </si>
  <si>
    <t>5_18_96_500</t>
  </si>
  <si>
    <t>5_18_96_501</t>
  </si>
  <si>
    <t>5_18_96_502</t>
  </si>
  <si>
    <t>5_18_96_503</t>
  </si>
  <si>
    <t>5_18_98_506</t>
  </si>
  <si>
    <t>5_18_98_507</t>
  </si>
  <si>
    <t>5_18_98_508</t>
  </si>
  <si>
    <t>5_18_98_509</t>
  </si>
  <si>
    <t>5_18_99_510</t>
  </si>
  <si>
    <t>5_18_99_511</t>
  </si>
  <si>
    <t>5_18_99_512</t>
  </si>
  <si>
    <t>5_18_99_513</t>
  </si>
  <si>
    <t>5_18_97_514</t>
  </si>
  <si>
    <t>5_18_68_360</t>
  </si>
  <si>
    <t>5_18_68_361</t>
  </si>
  <si>
    <t>5_18_68_362</t>
  </si>
  <si>
    <t>5_18_68_363</t>
  </si>
  <si>
    <t>5_18_68_364</t>
  </si>
  <si>
    <t>5_18_68_365</t>
  </si>
  <si>
    <t>5_18_68_366</t>
  </si>
  <si>
    <t>5_18_68_367</t>
  </si>
  <si>
    <t>5_18_68_368</t>
  </si>
  <si>
    <t>5_18_68_369</t>
  </si>
  <si>
    <t>5_18_100_515</t>
  </si>
  <si>
    <t>5_18_100_516</t>
  </si>
  <si>
    <t>5_18_100_517</t>
  </si>
  <si>
    <t>5_18_100_518</t>
  </si>
  <si>
    <t>5_18_100_519</t>
  </si>
  <si>
    <t>5_18_100_520</t>
  </si>
  <si>
    <t>5_18_100_521</t>
  </si>
  <si>
    <t>5_18_100_522</t>
  </si>
  <si>
    <t>5_18_100_523</t>
  </si>
  <si>
    <t>5_18_100_524</t>
  </si>
  <si>
    <t>5_18_101_525</t>
  </si>
  <si>
    <t>5_18_101_526</t>
  </si>
  <si>
    <t>5_18_101_527</t>
  </si>
  <si>
    <t>5_18_101_528</t>
  </si>
  <si>
    <t>5_18_101_529</t>
  </si>
  <si>
    <t>5_18_101_530</t>
  </si>
  <si>
    <t>5_18_101_531</t>
  </si>
  <si>
    <t>5_18_101_532</t>
  </si>
  <si>
    <t>5_18_101_533</t>
  </si>
  <si>
    <t>5_18_101_534</t>
  </si>
  <si>
    <t>5_16_86_467</t>
  </si>
  <si>
    <t>5_16_86_468</t>
  </si>
  <si>
    <t>5_16_86_469</t>
  </si>
  <si>
    <t>5_16_86_470</t>
  </si>
  <si>
    <t>5_16_87_471</t>
  </si>
  <si>
    <t>5_16_87_472</t>
  </si>
  <si>
    <t>5_16_87_473</t>
  </si>
  <si>
    <t>5_16_87_474</t>
  </si>
  <si>
    <t>5_16_88_475</t>
  </si>
  <si>
    <t>5_16_88_476</t>
  </si>
  <si>
    <t>5_16_88_477</t>
  </si>
  <si>
    <t>5_16_88_478</t>
  </si>
  <si>
    <t>5_16_89_479</t>
  </si>
  <si>
    <t>5_16_89_480</t>
  </si>
  <si>
    <t>5_16_89_481</t>
  </si>
  <si>
    <t>5_16_89_482</t>
  </si>
  <si>
    <t>5_16_90_483</t>
  </si>
  <si>
    <t>8_28_125_775</t>
  </si>
  <si>
    <t>8_28_125_776</t>
  </si>
  <si>
    <t>8_28_125_778</t>
  </si>
  <si>
    <t>8_28_125_779</t>
  </si>
  <si>
    <t>8_28_125_781</t>
  </si>
  <si>
    <t>8_28_125_782</t>
  </si>
  <si>
    <t>8_28_125_784</t>
  </si>
  <si>
    <t>8_28_125_785</t>
  </si>
  <si>
    <t>8_28_125_2805</t>
  </si>
  <si>
    <t>8_28_125_2806</t>
  </si>
  <si>
    <t>8_28_125_787</t>
  </si>
  <si>
    <t>8_28_125_788</t>
  </si>
  <si>
    <t>8_28_125_2970</t>
  </si>
  <si>
    <t>8_28_125_2969</t>
  </si>
  <si>
    <t>8_28_125_2818</t>
  </si>
  <si>
    <t>8_28_125_2819</t>
  </si>
  <si>
    <t>8_28_125_2821</t>
  </si>
  <si>
    <t>8_28_125_2822</t>
  </si>
  <si>
    <t>8_28_125_2824</t>
  </si>
  <si>
    <t>8_28_125_2825</t>
  </si>
  <si>
    <t>8_28_126_790</t>
  </si>
  <si>
    <t>8_28_126_793</t>
  </si>
  <si>
    <t>8_28_126_794</t>
  </si>
  <si>
    <t>8_29_127_796</t>
  </si>
  <si>
    <t>8_29_127_797</t>
  </si>
  <si>
    <t>8_29_127_798</t>
  </si>
  <si>
    <t>8_29_127_799</t>
  </si>
  <si>
    <t>8_29_127_800</t>
  </si>
  <si>
    <t>8_29_127_801</t>
  </si>
  <si>
    <t>8_29_127_802</t>
  </si>
  <si>
    <t>8_29_127_803</t>
  </si>
  <si>
    <t>8_29_127_805</t>
  </si>
  <si>
    <t>8_29_127_806</t>
  </si>
  <si>
    <t>8_29_127_807</t>
  </si>
  <si>
    <t>8_29_127_808</t>
  </si>
  <si>
    <t>8_29_127_809</t>
  </si>
  <si>
    <t>8_29_127_810</t>
  </si>
  <si>
    <t>8_29_127_812</t>
  </si>
  <si>
    <t>8_29_127_811</t>
  </si>
  <si>
    <t>2_76_182_2582</t>
  </si>
  <si>
    <t>2_76_182_2583</t>
  </si>
  <si>
    <t>2_76_182_2584</t>
  </si>
  <si>
    <t>2_76_182_2585</t>
  </si>
  <si>
    <t>2_76_182_2586</t>
  </si>
  <si>
    <t>2_76_182_2587</t>
  </si>
  <si>
    <t>2_76_182_2588</t>
  </si>
  <si>
    <t>2_76_182_2589</t>
  </si>
  <si>
    <t>2_76_182_2590</t>
  </si>
  <si>
    <t>2_76_182_2591</t>
  </si>
  <si>
    <t>2_76_182_2592</t>
  </si>
  <si>
    <t>2_76_182_2593</t>
  </si>
  <si>
    <t>2_76_182_2594</t>
  </si>
  <si>
    <t>2_76_182_2595</t>
  </si>
  <si>
    <t>2_76_182_2596</t>
  </si>
  <si>
    <t>2_76_182_2597</t>
  </si>
  <si>
    <t>2_76_182_2598</t>
  </si>
  <si>
    <t>2_76_182_2599</t>
  </si>
  <si>
    <t>2_76_182_2600</t>
  </si>
  <si>
    <t>2_76_182_2601</t>
  </si>
  <si>
    <t>2_76_182_2602</t>
  </si>
  <si>
    <t>2_76_182_2603</t>
  </si>
  <si>
    <t>2_76_182_2604</t>
  </si>
  <si>
    <t>2_76_182_2605</t>
  </si>
  <si>
    <t>2_76_182_2606</t>
  </si>
  <si>
    <t>2_76_182_2607</t>
  </si>
  <si>
    <t>2_76_182_2608</t>
  </si>
  <si>
    <t>2_76_182_2609</t>
  </si>
  <si>
    <t>2_76_182_2610</t>
  </si>
  <si>
    <t>2_76_182_2611</t>
  </si>
  <si>
    <t>2_76_182_2612</t>
  </si>
  <si>
    <t>2_76_182_2613</t>
  </si>
  <si>
    <t>2_76_182_2614</t>
  </si>
  <si>
    <t>2_76_182_2615</t>
  </si>
  <si>
    <t>2_76_182_2616</t>
  </si>
  <si>
    <t>2_76_182_2617</t>
  </si>
  <si>
    <t>2_76_182_2618</t>
  </si>
  <si>
    <t>2_76_182_2619</t>
  </si>
  <si>
    <t>2_76_182_2620</t>
  </si>
  <si>
    <t>2_7_46_173</t>
  </si>
  <si>
    <t>2_7_46_174</t>
  </si>
  <si>
    <t>2_7_46_175</t>
  </si>
  <si>
    <t>2_7_46_176</t>
  </si>
  <si>
    <t>2_7_46_177</t>
  </si>
  <si>
    <t>2_7_46_178</t>
  </si>
  <si>
    <t>2_7_46_179</t>
  </si>
  <si>
    <t>2_7_46_180</t>
  </si>
  <si>
    <t>2_7_46_181</t>
  </si>
  <si>
    <t>2_7_46_182</t>
  </si>
  <si>
    <t>2_7_46_183</t>
  </si>
  <si>
    <t>2_7_46_184</t>
  </si>
  <si>
    <t>2_7_46_185</t>
  </si>
  <si>
    <t>2_7_46_186</t>
  </si>
  <si>
    <t>2_7_46_187</t>
  </si>
  <si>
    <t>2_7_46_188</t>
  </si>
  <si>
    <t>2_7_46_189</t>
  </si>
  <si>
    <t>2_7_46_190</t>
  </si>
  <si>
    <t>2_7_46_191</t>
  </si>
  <si>
    <t>2_7_46_192</t>
  </si>
  <si>
    <t>2_7_46_193</t>
  </si>
  <si>
    <t>2_7_46_194</t>
  </si>
  <si>
    <t>2_7_46_195</t>
  </si>
  <si>
    <t>2_7_46_196</t>
  </si>
  <si>
    <t>2_7_46_197</t>
  </si>
  <si>
    <t>2_7_46_198</t>
  </si>
  <si>
    <t>2_7_46_199</t>
  </si>
  <si>
    <t>2_7_46_200</t>
  </si>
  <si>
    <t>2_7_46_201</t>
  </si>
  <si>
    <t>2_7_46_202</t>
  </si>
  <si>
    <t>2_7_46_203</t>
  </si>
  <si>
    <t>2_7_46_204</t>
  </si>
  <si>
    <t>2_7_46_205</t>
  </si>
  <si>
    <t>2_7_46_206</t>
  </si>
  <si>
    <t>2_7_46_207</t>
  </si>
  <si>
    <t>2_7_46_208</t>
  </si>
  <si>
    <t>2_7_46_209</t>
  </si>
  <si>
    <t>2_7_46_210</t>
  </si>
  <si>
    <t>2_7_46_211</t>
  </si>
  <si>
    <t>2_8_47_213</t>
  </si>
  <si>
    <t>2_8_47_214</t>
  </si>
  <si>
    <t>2_8_47_215</t>
  </si>
  <si>
    <t>2_8_47_216</t>
  </si>
  <si>
    <t>2_8_47_217</t>
  </si>
  <si>
    <t>2_8_47_218</t>
  </si>
  <si>
    <t>2_8_47_219</t>
  </si>
  <si>
    <t>2_8_47_220</t>
  </si>
  <si>
    <t>2_8_47_221</t>
  </si>
  <si>
    <t>2_8_47_222</t>
  </si>
  <si>
    <t>2_8_47_223</t>
  </si>
  <si>
    <t>2_8_47_224</t>
  </si>
  <si>
    <t>2_8_47_225</t>
  </si>
  <si>
    <t>2_8_47_226</t>
  </si>
  <si>
    <t>2_8_47_227</t>
  </si>
  <si>
    <t>2_8_47_228</t>
  </si>
  <si>
    <t>2_8_47_229</t>
  </si>
  <si>
    <t>2_8_47_230</t>
  </si>
  <si>
    <t>2_8_47_231</t>
  </si>
  <si>
    <t>2_8_47_232</t>
  </si>
  <si>
    <t>2_8_47_233</t>
  </si>
  <si>
    <t>2_8_47_234</t>
  </si>
  <si>
    <t>2_8_47_235</t>
  </si>
  <si>
    <t>2_8_47_236</t>
  </si>
  <si>
    <t>2_8_47_237</t>
  </si>
  <si>
    <t>2_8_47_238</t>
  </si>
  <si>
    <t>2_8_47_239</t>
  </si>
  <si>
    <t>2_8_47_240</t>
  </si>
  <si>
    <t>2_8_47_241</t>
  </si>
  <si>
    <t>2_8_47_242</t>
  </si>
  <si>
    <t>2_8_47_243</t>
  </si>
  <si>
    <t>2_8_47_244</t>
  </si>
  <si>
    <t>2_8_47_245</t>
  </si>
  <si>
    <t>2_8_47_246</t>
  </si>
  <si>
    <t>2_8_47_247</t>
  </si>
  <si>
    <t>2_8_47_248</t>
  </si>
  <si>
    <t>2_8_47_249</t>
  </si>
  <si>
    <t>2_8_47_250</t>
  </si>
  <si>
    <t>2_8_47_251</t>
  </si>
  <si>
    <t>4_13_60_318</t>
  </si>
  <si>
    <t>4_13_60_319</t>
  </si>
  <si>
    <t>4_13_60_320</t>
  </si>
  <si>
    <t>4_13_60_322</t>
  </si>
  <si>
    <t>4_13_60_323</t>
  </si>
  <si>
    <t>4_13_60_321</t>
  </si>
  <si>
    <t>4_13_60_324</t>
  </si>
  <si>
    <t>4_13_60_325</t>
  </si>
  <si>
    <t>4_13_60_3019</t>
  </si>
  <si>
    <t>4_13_60_326</t>
  </si>
  <si>
    <t>4_13_60_327</t>
  </si>
  <si>
    <t>4_13_60_2794</t>
  </si>
  <si>
    <t>4_13_60_2795</t>
  </si>
  <si>
    <t>4_13_60_2796</t>
  </si>
  <si>
    <t>4_13_60_2797</t>
  </si>
  <si>
    <t>4_13_60_2798</t>
  </si>
  <si>
    <t>4_13_60_2799</t>
  </si>
  <si>
    <t>4_13_60_2800</t>
  </si>
  <si>
    <t>4_13_60_2801</t>
  </si>
  <si>
    <t>4_13_60_3018</t>
  </si>
  <si>
    <t>4_14_63_349</t>
  </si>
  <si>
    <t>4_14_64_3021</t>
  </si>
  <si>
    <t>4_14_64_3022</t>
  </si>
  <si>
    <t>4_14_64_350</t>
  </si>
  <si>
    <t>4_14_64_2803</t>
  </si>
  <si>
    <t>4_13_61_329</t>
  </si>
  <si>
    <t>4_13_61_333</t>
  </si>
  <si>
    <t>4_13_61_338</t>
  </si>
  <si>
    <t>4_13_61_339</t>
  </si>
  <si>
    <t>4_13_61_334</t>
  </si>
  <si>
    <t>4_13_61_340</t>
  </si>
  <si>
    <t>4_13_61_341</t>
  </si>
  <si>
    <t>4_13_61_330</t>
  </si>
  <si>
    <t>4_13_61_335</t>
  </si>
  <si>
    <t>4_13_61_342</t>
  </si>
  <si>
    <t>4_13_61_331</t>
  </si>
  <si>
    <t>4_13_61_336</t>
  </si>
  <si>
    <t>4_13_61_343</t>
  </si>
  <si>
    <t>4_13_62_344</t>
  </si>
  <si>
    <t>4_13_62_345</t>
  </si>
  <si>
    <t>4_13_62_346</t>
  </si>
  <si>
    <t>4_13_62_347</t>
  </si>
  <si>
    <t>4_13_62_348</t>
  </si>
  <si>
    <t>Yes or No</t>
  </si>
  <si>
    <t>6_19_102_536</t>
  </si>
  <si>
    <t>6_19_102_540</t>
  </si>
  <si>
    <t>6_19_102_541</t>
  </si>
  <si>
    <t>6_19_102_543</t>
  </si>
  <si>
    <t>6_19_102_544</t>
  </si>
  <si>
    <t>6_19_102_546</t>
  </si>
  <si>
    <t>6_19_102_547</t>
  </si>
  <si>
    <t>6_19_102_549</t>
  </si>
  <si>
    <t>6_19_102_550</t>
  </si>
  <si>
    <t>6_19_102_552</t>
  </si>
  <si>
    <t>6_19_102_553</t>
  </si>
  <si>
    <t>6_19_102_556</t>
  </si>
  <si>
    <t>6_19_102_557</t>
  </si>
  <si>
    <t>6_19_102_559</t>
  </si>
  <si>
    <t>6_19_102_561</t>
  </si>
  <si>
    <t>6_19_102_562</t>
  </si>
  <si>
    <t>6_19_102_564</t>
  </si>
  <si>
    <t>6_19_102_565</t>
  </si>
  <si>
    <t>6_19_102_567</t>
  </si>
  <si>
    <t>6_19_102_568</t>
  </si>
  <si>
    <t>6_19_102_570</t>
  </si>
  <si>
    <t>6_19_102_571</t>
  </si>
  <si>
    <t>6_19_102_573</t>
  </si>
  <si>
    <t>6_19_102_574</t>
  </si>
  <si>
    <t>6_19_106_624</t>
  </si>
  <si>
    <t>6_19_106_625</t>
  </si>
  <si>
    <t>6_19_106_626</t>
  </si>
  <si>
    <t>6_19_106_628</t>
  </si>
  <si>
    <t>6_19_106_629</t>
  </si>
  <si>
    <t>6_19_106_630</t>
  </si>
  <si>
    <t>6_19_106_632</t>
  </si>
  <si>
    <t>6_19_106_633</t>
  </si>
  <si>
    <t>6_19_106_634</t>
  </si>
  <si>
    <t>6_19_106_636</t>
  </si>
  <si>
    <t>6_19_106_637</t>
  </si>
  <si>
    <t>6_19_106_638</t>
  </si>
  <si>
    <t>6_19_106_640</t>
  </si>
  <si>
    <t>6_19_106_641</t>
  </si>
  <si>
    <t>6_19_106_642</t>
  </si>
  <si>
    <t>6_19_106_644</t>
  </si>
  <si>
    <t>6_19_106_645</t>
  </si>
  <si>
    <t>6_19_106_646</t>
  </si>
  <si>
    <t>6_19_106_648</t>
  </si>
  <si>
    <t>6_19_106_649</t>
  </si>
  <si>
    <t>6_19_106_650</t>
  </si>
  <si>
    <t>6_19_106_652</t>
  </si>
  <si>
    <t>6_19_106_653</t>
  </si>
  <si>
    <t>6_19_106_654</t>
  </si>
  <si>
    <t>6_19_106_656</t>
  </si>
  <si>
    <t>6_19_106_657</t>
  </si>
  <si>
    <t>6_19_106_658</t>
  </si>
  <si>
    <t>6_19_106_660</t>
  </si>
  <si>
    <t>6_19_106_661</t>
  </si>
  <si>
    <t>6_19_106_662</t>
  </si>
  <si>
    <t>6_19_106_664</t>
  </si>
  <si>
    <t>6_19_106_665</t>
  </si>
  <si>
    <t>6_19_106_666</t>
  </si>
  <si>
    <t>6_19_106_668</t>
  </si>
  <si>
    <t>6_19_106_669</t>
  </si>
  <si>
    <t>6_19_106_670</t>
  </si>
  <si>
    <t>6_19_106_672</t>
  </si>
  <si>
    <t>6_19_106_673</t>
  </si>
  <si>
    <t>6_19_106_674</t>
  </si>
  <si>
    <t>6_19_107_676</t>
  </si>
  <si>
    <t>6_19_107_677</t>
  </si>
  <si>
    <t>6_19_107_678</t>
  </si>
  <si>
    <t>6_19_107_680</t>
  </si>
  <si>
    <t>6_19_107_681</t>
  </si>
  <si>
    <t>6_19_107_682</t>
  </si>
  <si>
    <t>6_19_107_684</t>
  </si>
  <si>
    <t>6_19_107_685</t>
  </si>
  <si>
    <t>6_19_107_686</t>
  </si>
  <si>
    <t>6_19_107_688</t>
  </si>
  <si>
    <t>6_19_107_689</t>
  </si>
  <si>
    <t>6_19_107_690</t>
  </si>
  <si>
    <t>6_19_121_745</t>
  </si>
  <si>
    <t>6_19_114_714</t>
  </si>
  <si>
    <t>6_19_114_715</t>
  </si>
  <si>
    <t>6_19_114_716</t>
  </si>
  <si>
    <t>6_19_114_718</t>
  </si>
  <si>
    <t>6_19_114_719</t>
  </si>
  <si>
    <t>6_19_114_720</t>
  </si>
  <si>
    <t>6_19_114_722</t>
  </si>
  <si>
    <t>6_19_114_723</t>
  </si>
  <si>
    <t>6_19_114_724</t>
  </si>
  <si>
    <t>6_19_114_726</t>
  </si>
  <si>
    <t>6_19_114_727</t>
  </si>
  <si>
    <t>6_19_114_728</t>
  </si>
  <si>
    <t>6_19_114_730</t>
  </si>
  <si>
    <t>6_19_114_731</t>
  </si>
  <si>
    <t>6_19_114_732</t>
  </si>
  <si>
    <t>6_20_104_596</t>
  </si>
  <si>
    <t>6_20_104_597</t>
  </si>
  <si>
    <t>6_20_104_598</t>
  </si>
  <si>
    <t>6_20_104_599</t>
  </si>
  <si>
    <t>6_20_104_600</t>
  </si>
  <si>
    <t>6_20_104_601</t>
  </si>
  <si>
    <t>6_77_108_691</t>
  </si>
  <si>
    <t>6_77_108_692</t>
  </si>
  <si>
    <t>6_77_109_693</t>
  </si>
  <si>
    <t>6_77_109_694</t>
  </si>
  <si>
    <t>6_77_109_695</t>
  </si>
  <si>
    <t>6_77_110_696</t>
  </si>
  <si>
    <t>6_77_110_697</t>
  </si>
  <si>
    <t>6_77_110_698</t>
  </si>
  <si>
    <t>6_77_187_2713</t>
  </si>
  <si>
    <t>6_77_187_2714</t>
  </si>
  <si>
    <t>6_77_190_2809</t>
  </si>
  <si>
    <t>6_77_190_2810</t>
  </si>
  <si>
    <t>6_77_190_2813</t>
  </si>
  <si>
    <t>6_77_190_2812</t>
  </si>
  <si>
    <t>6_77_185_2696</t>
  </si>
  <si>
    <t>6_77_185_2697</t>
  </si>
  <si>
    <t>6_77_113_711</t>
  </si>
  <si>
    <t>6_77_113_712</t>
  </si>
  <si>
    <t>Select your high school completion requirement for degree-seeking entering students:</t>
  </si>
  <si>
    <t>Classify your undergraduate institution (select one):</t>
  </si>
  <si>
    <t>Academic year calendar (select one):</t>
  </si>
  <si>
    <t>1_6_40_155</t>
  </si>
  <si>
    <t>1_6_41_156</t>
  </si>
  <si>
    <t>1_6_41_157</t>
  </si>
  <si>
    <t>1_6_42_159</t>
  </si>
  <si>
    <t>1_6_42_160</t>
  </si>
  <si>
    <t>1_6_42_161</t>
  </si>
  <si>
    <t>1_6_42_162</t>
  </si>
  <si>
    <t>1_6_42_163</t>
  </si>
  <si>
    <t>1_6_42_164</t>
  </si>
  <si>
    <t>1_6_43_165</t>
  </si>
  <si>
    <t>1_6_44_166</t>
  </si>
  <si>
    <t>1_6_45_168</t>
  </si>
  <si>
    <t>1_6_45_169</t>
  </si>
  <si>
    <t>1_6_45_170</t>
  </si>
  <si>
    <t>1_6_45_171</t>
  </si>
  <si>
    <t>1_6_45_172</t>
  </si>
  <si>
    <t>1_6_45_2954</t>
  </si>
  <si>
    <t>1_6_45_2955</t>
  </si>
  <si>
    <t>1_6_45_2956</t>
  </si>
  <si>
    <t>1_6_45_2957</t>
  </si>
  <si>
    <t>1_6_45_2958</t>
  </si>
  <si>
    <t>1_6_45_2961</t>
  </si>
  <si>
    <t>1_6_45_2963</t>
  </si>
  <si>
    <t>1_6_45_2965</t>
  </si>
  <si>
    <t>1_6_45_2967</t>
  </si>
  <si>
    <t>1_6_45_2959</t>
  </si>
  <si>
    <t>1_6_45_2962</t>
  </si>
  <si>
    <t>1_6_45_2964</t>
  </si>
  <si>
    <t>1_6_45_2966</t>
  </si>
  <si>
    <t>1_6_45_2968</t>
  </si>
  <si>
    <t>1_6_45_2960</t>
  </si>
  <si>
    <t>1_6_32_143</t>
  </si>
  <si>
    <t>1_6_34_145</t>
  </si>
  <si>
    <t>1_6_35_147</t>
  </si>
  <si>
    <t>1_6_35_148</t>
  </si>
  <si>
    <t>1_6_36_150</t>
  </si>
  <si>
    <t>1_6_36_151</t>
  </si>
  <si>
    <t>1_6_37_152</t>
  </si>
  <si>
    <t>1_6_38_153</t>
  </si>
  <si>
    <t>1_6_39_154</t>
  </si>
  <si>
    <t>1_5_28_135</t>
  </si>
  <si>
    <t>1_5_28_136</t>
  </si>
  <si>
    <t>1_5_29_138</t>
  </si>
  <si>
    <t>1_5_29_139</t>
  </si>
  <si>
    <t>1_5_30_140</t>
  </si>
  <si>
    <t>1_5_30_141</t>
  </si>
  <si>
    <t>1_5_31_142</t>
  </si>
  <si>
    <t>1_2_11_2748</t>
  </si>
  <si>
    <t>1_5_27_130</t>
  </si>
  <si>
    <t>A6</t>
  </si>
  <si>
    <t>Diversity, Equity, and Inclusion</t>
  </si>
  <si>
    <t>Another Gender</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</si>
  <si>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</si>
  <si>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</si>
  <si>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t xml:space="preserve">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t>
  </si>
  <si>
    <t>NOTE - Nonresidents are to be reported separately, in the boxes provided, rather than included in
any of the seven racial/ethnic categories or in race/ethnicity unknown.</t>
  </si>
  <si>
    <t>Nonresidents</t>
  </si>
  <si>
    <t xml:space="preserve">•     Include international students only in the category "Nonresidents." </t>
  </si>
  <si>
    <t>Total first-time, first-year men who applied</t>
  </si>
  <si>
    <t>Total first-time, first-year women who applied</t>
  </si>
  <si>
    <t xml:space="preserve">Total first-time, first-year of another gender who applied </t>
  </si>
  <si>
    <t>•     If your institution collects and reports non-binary gender data, please use the "Another Gender" category.</t>
  </si>
  <si>
    <t>Total first-time, first-year of another gender who were admitted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</si>
  <si>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</si>
  <si>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</si>
  <si>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</si>
  <si>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</si>
  <si>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</si>
  <si>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</si>
  <si>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Total full-time, first-time, first-year of another gender who enrolled</t>
  </si>
  <si>
    <t>Total part-time, first-time, first-year of another gender who enrolled</t>
  </si>
  <si>
    <t>C. FIRST-TIME, FIRST-YEAR ADMISSION</t>
  </si>
  <si>
    <t>•     Since the total may include students who did not provide gender data, the detail need not sum to the total.</t>
  </si>
  <si>
    <t xml:space="preserve">First-time, first-year wait-listed students </t>
  </si>
  <si>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</si>
  <si>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</si>
  <si>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</si>
  <si>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</si>
  <si>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</si>
  <si>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</si>
  <si>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</si>
  <si>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</si>
  <si>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</si>
  <si>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Very Important</t>
  </si>
  <si>
    <t>Important</t>
  </si>
  <si>
    <t>Considered</t>
  </si>
  <si>
    <t>Not Considered</t>
  </si>
  <si>
    <t>Academic</t>
  </si>
  <si>
    <t>Rigor of secondary school record</t>
  </si>
  <si>
    <t>Class rank</t>
  </si>
  <si>
    <t xml:space="preserve">   Academic GPA</t>
  </si>
  <si>
    <t>Application Essay</t>
  </si>
  <si>
    <t>Recommendation(s)</t>
  </si>
  <si>
    <t>Nonacademic</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</si>
  <si>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</si>
  <si>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</si>
  <si>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</si>
  <si>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</si>
  <si>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</si>
  <si>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</si>
  <si>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</si>
  <si>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</si>
  <si>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</si>
  <si>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</si>
  <si>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</si>
  <si>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</si>
  <si>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C8: SAT and ACT Policies</t>
  </si>
  <si>
    <t xml:space="preserve">Entrance exams </t>
  </si>
  <si>
    <t>C8A</t>
  </si>
  <si>
    <t>ADMISSION</t>
  </si>
  <si>
    <t>Require for Some</t>
  </si>
  <si>
    <t>Consider if Submitted</t>
  </si>
  <si>
    <t>SAT or ACT</t>
  </si>
  <si>
    <t>ACT Only</t>
  </si>
  <si>
    <t>SAT Only</t>
  </si>
  <si>
    <t>SAT Subject Tests</t>
  </si>
  <si>
    <t>•     Note that recent high school graduates and other students without prior postsecondary experience will still be considered "first-time students" for fall 
      enrollment reporting purposes even if they enrolled in the summer prior to fall enrollment.</t>
  </si>
  <si>
    <r>
      <t xml:space="preserve">Does your institution make use of SAT, ACT, or SAT Subject Test scores in </t>
    </r>
    <r>
      <rPr>
        <b/>
        <sz val="12"/>
        <color indexed="8"/>
        <rFont val="Arial"/>
        <family val="2"/>
      </rPr>
      <t>admission</t>
    </r>
    <r>
      <rPr>
        <sz val="12"/>
        <color indexed="8"/>
        <rFont val="Arial"/>
        <family val="2"/>
      </rPr>
      <t xml:space="preserve"> decisions for first-time, first-year, degree-seeking applicants?   </t>
    </r>
  </si>
  <si>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</si>
  <si>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</si>
  <si>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</si>
  <si>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</si>
  <si>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</si>
  <si>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</si>
  <si>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C8G</t>
  </si>
  <si>
    <t>SAT</t>
  </si>
  <si>
    <t>ACT</t>
  </si>
  <si>
    <t>AP</t>
  </si>
  <si>
    <t>CLEP</t>
  </si>
  <si>
    <t>Institutional Exam</t>
  </si>
  <si>
    <t>State Exam (specify):</t>
  </si>
  <si>
    <t>C9</t>
  </si>
  <si>
    <t>Submitting SAT Scores</t>
  </si>
  <si>
    <t>Submitting ACT Scores</t>
  </si>
  <si>
    <t>Assessment</t>
  </si>
  <si>
    <t>25th Percentile</t>
  </si>
  <si>
    <t>75th Percentile</t>
  </si>
  <si>
    <t>SAT Composite</t>
  </si>
  <si>
    <t>SAT Evidence-Based Reading and Writing</t>
  </si>
  <si>
    <t>SAT Math</t>
  </si>
  <si>
    <t>ACT Composite</t>
  </si>
  <si>
    <t>ACT Math</t>
  </si>
  <si>
    <t>ACT English</t>
  </si>
  <si>
    <t>ACT Writing</t>
  </si>
  <si>
    <t>Score Range</t>
  </si>
  <si>
    <t>700-800</t>
  </si>
  <si>
    <t>600-699</t>
  </si>
  <si>
    <t>500-599</t>
  </si>
  <si>
    <t>400-499</t>
  </si>
  <si>
    <t>300-399</t>
  </si>
  <si>
    <t>200-299</t>
  </si>
  <si>
    <t>Totals should = 100%</t>
  </si>
  <si>
    <t>1400-1600</t>
  </si>
  <si>
    <t>1200-1399</t>
  </si>
  <si>
    <t>1000-1199</t>
  </si>
  <si>
    <r>
      <t xml:space="preserve">Please indicate which tests your institution uses for </t>
    </r>
    <r>
      <rPr>
        <b/>
        <sz val="12"/>
        <color indexed="8"/>
        <rFont val="Arial"/>
        <family val="2"/>
      </rPr>
      <t>placement (e.g., state tests):</t>
    </r>
  </si>
  <si>
    <r>
      <t xml:space="preserve">•     </t>
    </r>
    <r>
      <rPr>
        <sz val="12"/>
        <color indexed="8"/>
        <rFont val="Arial"/>
        <family val="2"/>
      </rPr>
      <t>Do not include partial test scores (e.g., mathematics scores but not critical reading for a category of 
      students) or combine other standardized test results (such as TOEFL) in this item.</t>
    </r>
  </si>
  <si>
    <r>
      <t xml:space="preserve">•     </t>
    </r>
    <r>
      <rPr>
        <sz val="12"/>
        <color indexed="8"/>
        <rFont val="Arial"/>
        <family val="2"/>
      </rPr>
      <t>Do not convert SAT scores to ACT scores and vice versa.</t>
    </r>
  </si>
  <si>
    <r>
      <t xml:space="preserve">•     </t>
    </r>
    <r>
      <rPr>
        <sz val="12"/>
        <color indexed="8"/>
        <rFont val="Arial"/>
        <family val="2"/>
      </rPr>
      <t>If a student submitted multiple sets of scores for a single test, report this information according to how 
      you use the data. For example:</t>
    </r>
  </si>
  <si>
    <t>Percent of first-time, first-year students with scores in each range:</t>
  </si>
  <si>
    <t>50th Percentile</t>
  </si>
  <si>
    <t>For each assessment listed below, report the score that represents the 25th percentile (the score that 25 percent of the first-year population scored at or below), the 50th percentile (the score that 50 percent scored at or below), and the 75th percentile score (the score that 25 percent scored at or above).</t>
  </si>
  <si>
    <r>
      <t xml:space="preserve">•     Include information for </t>
    </r>
    <r>
      <rPr>
        <b/>
        <sz val="12"/>
        <color indexed="8"/>
        <rFont val="Arial"/>
        <family val="2"/>
      </rPr>
      <t>ALL enrolled, degree-seeking, first-time, first-year students 
      who submitted test scores.</t>
    </r>
  </si>
  <si>
    <t>C9-C12: First-Year Profile</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</si>
  <si>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</si>
  <si>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</si>
  <si>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</si>
  <si>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</si>
  <si>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</si>
  <si>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</si>
  <si>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</si>
  <si>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</si>
  <si>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</si>
  <si>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</si>
  <si>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</si>
  <si>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</si>
  <si>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</si>
  <si>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</si>
  <si>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</si>
  <si>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</si>
  <si>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</si>
  <si>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</si>
  <si>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</si>
  <si>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</si>
  <si>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</si>
  <si>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</si>
  <si>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</si>
  <si>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</si>
  <si>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</si>
  <si>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</si>
  <si>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</si>
  <si>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</si>
  <si>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</si>
  <si>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</si>
  <si>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</si>
  <si>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</si>
  <si>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</si>
  <si>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</si>
  <si>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</si>
  <si>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</si>
  <si>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</si>
  <si>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</si>
  <si>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</si>
  <si>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</si>
  <si>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</si>
  <si>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</si>
  <si>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</si>
  <si>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</si>
  <si>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C15</t>
  </si>
  <si>
    <t>Are first-time, first-year students accepted for terms other than the fall?</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</si>
  <si>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</si>
  <si>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</si>
  <si>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</si>
  <si>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</si>
  <si>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</si>
  <si>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</si>
  <si>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</si>
  <si>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</si>
  <si>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</si>
  <si>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</si>
  <si>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</si>
  <si>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</si>
  <si>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</si>
  <si>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</si>
  <si>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</si>
  <si>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</si>
  <si>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</si>
  <si>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</si>
  <si>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</si>
  <si>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</si>
  <si>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</si>
  <si>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</si>
  <si>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</si>
  <si>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</si>
  <si>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</si>
  <si>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</si>
  <si>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</si>
  <si>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</si>
  <si>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</si>
  <si>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</si>
  <si>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</si>
  <si>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</si>
  <si>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</si>
  <si>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</si>
  <si>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</si>
  <si>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</si>
  <si>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</si>
  <si>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</si>
  <si>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r>
      <t xml:space="preserve">Notification to applicants of admission decision sent </t>
    </r>
    <r>
      <rPr>
        <i/>
        <sz val="12"/>
        <color indexed="8"/>
        <rFont val="Arial"/>
        <family val="2"/>
      </rPr>
      <t>(fill in one only)</t>
    </r>
  </si>
  <si>
    <r>
      <t xml:space="preserve">Reply policy for admitted applicants </t>
    </r>
    <r>
      <rPr>
        <i/>
        <sz val="12"/>
        <rFont val="Arial"/>
        <family val="2"/>
      </rPr>
      <t>(fill in one only)</t>
    </r>
  </si>
  <si>
    <r>
      <t xml:space="preserve">Common Application: </t>
    </r>
    <r>
      <rPr>
        <sz val="12"/>
        <rFont val="Arial"/>
        <family val="2"/>
      </rPr>
      <t>Question removed from CDS. (Initiated during 2006-2007 cycle)</t>
    </r>
  </si>
  <si>
    <t xml:space="preserve">Relative importance of each of the following academic and nonacademic factors in your first-time, first-year, degree-seeking general (not including programs with specific criteria) admission decisions. </t>
  </si>
  <si>
    <t>Please provide additional information if the importance of any specific academic or nonacademic factors differ by academic program.</t>
  </si>
  <si>
    <t>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</si>
  <si>
    <t>ACT Science</t>
  </si>
  <si>
    <t>ACT Reading</t>
  </si>
  <si>
    <t xml:space="preserve">If your institution collects and reports non-binary gender data, please use the “Another Gender” category. </t>
  </si>
  <si>
    <t>Comprehensive transition and possecondary program for students with intellectual disabilities</t>
  </si>
  <si>
    <t>Undergraduate research</t>
  </si>
  <si>
    <t>Physical Education</t>
  </si>
  <si>
    <t>Intensive writing</t>
  </si>
  <si>
    <t>Marine Option</t>
  </si>
  <si>
    <t>Coed residence halls</t>
  </si>
  <si>
    <t>Men's residence halls</t>
  </si>
  <si>
    <t>Women's residence halls</t>
  </si>
  <si>
    <t>Living Learning Communities</t>
  </si>
  <si>
    <r>
      <t xml:space="preserve">•     If the data being reported are final figures for the </t>
    </r>
    <r>
      <rPr>
        <sz val="10"/>
        <color rgb="FF00B050"/>
        <rFont val="Arial"/>
        <family val="2"/>
      </rPr>
      <t>2021-2022</t>
    </r>
    <r>
      <rPr>
        <sz val="10"/>
        <color indexed="8"/>
        <rFont val="Arial"/>
        <family val="2"/>
      </rPr>
      <t xml:space="preserve"> academic year (see the next item below), 
      use the </t>
    </r>
    <r>
      <rPr>
        <sz val="10"/>
        <color rgb="FF00B050"/>
        <rFont val="Arial"/>
        <family val="2"/>
      </rPr>
      <t>2021-2022</t>
    </r>
    <r>
      <rPr>
        <sz val="10"/>
        <color indexed="8"/>
        <rFont val="Arial"/>
        <family val="2"/>
      </rPr>
      <t xml:space="preserve"> academic year's CDS Question B1 cohort.</t>
    </r>
  </si>
  <si>
    <r>
      <rPr>
        <b/>
        <sz val="10"/>
        <color rgb="FF00B050"/>
        <rFont val="Arial"/>
        <family val="2"/>
      </rPr>
      <t>2022-2023</t>
    </r>
    <r>
      <rPr>
        <b/>
        <sz val="10"/>
        <rFont val="Arial"/>
        <family val="2"/>
      </rPr>
      <t xml:space="preserve"> estimated</t>
    </r>
  </si>
  <si>
    <r>
      <rPr>
        <b/>
        <sz val="10"/>
        <color rgb="FF00B050"/>
        <rFont val="Arial"/>
        <family val="2"/>
      </rPr>
      <t>2021-2022</t>
    </r>
    <r>
      <rPr>
        <b/>
        <sz val="10"/>
        <color indexed="8"/>
        <rFont val="Arial"/>
        <family val="2"/>
      </rPr>
      <t xml:space="preserve"> Final</t>
    </r>
  </si>
  <si>
    <r>
      <t xml:space="preserve">Number of degree-seeking undergraduate students (CDS Item B1 if reporting on Fall </t>
    </r>
    <r>
      <rPr>
        <sz val="9"/>
        <color rgb="FF00B050"/>
        <rFont val="Arial"/>
        <family val="2"/>
      </rPr>
      <t>2022</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</si>
  <si>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2022</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indexed="8"/>
        <rFont val="Arial"/>
        <family val="2"/>
      </rPr>
      <t xml:space="preserve"> and June 30, </t>
    </r>
    <r>
      <rPr>
        <sz val="10"/>
        <color rgb="FF00B050"/>
        <rFont val="Arial"/>
        <family val="2"/>
      </rPr>
      <t>2022</t>
    </r>
    <r>
      <rPr>
        <sz val="10"/>
        <color indexed="8"/>
        <rFont val="Arial"/>
        <family val="2"/>
      </rPr>
      <t>.</t>
    </r>
  </si>
  <si>
    <r>
      <t xml:space="preserve">Provide the number of students in the </t>
    </r>
    <r>
      <rPr>
        <b/>
        <sz val="10"/>
        <color rgb="FF00B050"/>
        <rFont val="Arial"/>
        <family val="2"/>
      </rPr>
      <t>2022</t>
    </r>
    <r>
      <rPr>
        <b/>
        <sz val="10"/>
        <rFont val="Arial"/>
        <family val="2"/>
      </rPr>
      <t xml:space="preserve"> undergraduate class who started at your institution as first-time students and received a bachelor's degree between July 1, </t>
    </r>
    <r>
      <rPr>
        <b/>
        <sz val="10"/>
        <color rgb="FF00B050"/>
        <rFont val="Arial"/>
        <family val="2"/>
      </rPr>
      <t>2021</t>
    </r>
    <r>
      <rPr>
        <b/>
        <sz val="10"/>
        <rFont val="Arial"/>
        <family val="2"/>
      </rPr>
      <t xml:space="preserve"> and June 30, </t>
    </r>
    <r>
      <rPr>
        <b/>
        <sz val="10"/>
        <color rgb="FF00B050"/>
        <rFont val="Arial"/>
        <family val="2"/>
      </rPr>
      <t>2022</t>
    </r>
    <r>
      <rPr>
        <b/>
        <sz val="10"/>
        <rFont val="Arial"/>
        <family val="2"/>
      </rPr>
      <t>. Exclude students who transferred into your institution.</t>
    </r>
  </si>
  <si>
    <r>
      <t xml:space="preserve">Degrees conferred between July 1, </t>
    </r>
    <r>
      <rPr>
        <b/>
        <sz val="10"/>
        <color rgb="FF00B050"/>
        <rFont val="Arial"/>
        <family val="2"/>
      </rPr>
      <t>2021</t>
    </r>
    <r>
      <rPr>
        <b/>
        <sz val="10"/>
        <rFont val="Arial"/>
        <family val="2"/>
      </rPr>
      <t xml:space="preserve"> and June 30, </t>
    </r>
    <r>
      <rPr>
        <b/>
        <sz val="10"/>
        <color rgb="FF00B050"/>
        <rFont val="Arial"/>
        <family val="2"/>
      </rPr>
      <t>2022</t>
    </r>
  </si>
  <si>
    <t>5_18_66_3096</t>
  </si>
  <si>
    <t>5_18_66_3097</t>
  </si>
  <si>
    <t>5_18_67_3098</t>
  </si>
  <si>
    <t>5_18_67_3099</t>
  </si>
  <si>
    <t>5_18_95_3100</t>
  </si>
  <si>
    <t>5_18_95_3101</t>
  </si>
  <si>
    <t>5_18_96_3102</t>
  </si>
  <si>
    <t>5_18_96_3103</t>
  </si>
  <si>
    <t>5_18_98_3104</t>
  </si>
  <si>
    <t>5_18_98_3105</t>
  </si>
  <si>
    <t>5_18_99_3106</t>
  </si>
  <si>
    <t>Degree-seeking, first-time first-year</t>
  </si>
  <si>
    <t>5_15_69_3094</t>
  </si>
  <si>
    <t>5_15_70_3095</t>
  </si>
  <si>
    <t>5_15_71_3092</t>
  </si>
  <si>
    <t>5_15_71_3093</t>
  </si>
  <si>
    <t>5_15_74_383</t>
  </si>
  <si>
    <t>5_15_74_384</t>
  </si>
  <si>
    <t>5_15_74_385</t>
  </si>
  <si>
    <t>5_15_74_386</t>
  </si>
  <si>
    <t>5_15_74_387</t>
  </si>
  <si>
    <t>5_15_74_388</t>
  </si>
  <si>
    <t>5_15_74_389</t>
  </si>
  <si>
    <t>5_15_74_390</t>
  </si>
  <si>
    <t>5_15_74_391</t>
  </si>
  <si>
    <t>5_15_74_392</t>
  </si>
  <si>
    <t>5_15_74_393</t>
  </si>
  <si>
    <t>5_15_74_394</t>
  </si>
  <si>
    <t>5_15_74_399</t>
  </si>
  <si>
    <t>5_15_74_400</t>
  </si>
  <si>
    <t>5_15_74_397</t>
  </si>
  <si>
    <t>5_15_74_398</t>
  </si>
  <si>
    <t>5_15_74_395</t>
  </si>
  <si>
    <t>5_15_74_396</t>
  </si>
  <si>
    <t>5_15_75_401</t>
  </si>
  <si>
    <t>5_15_75_402</t>
  </si>
  <si>
    <t>5_15_75_403</t>
  </si>
  <si>
    <t>5_15_75_404</t>
  </si>
  <si>
    <t>5_15_75_405</t>
  </si>
  <si>
    <t>5_15_75_406</t>
  </si>
  <si>
    <t>5_15_75_407</t>
  </si>
  <si>
    <t>5_15_75_408</t>
  </si>
  <si>
    <t>5_15_75_409</t>
  </si>
  <si>
    <t>5_15_75_410</t>
  </si>
  <si>
    <t>5_15_75_411</t>
  </si>
  <si>
    <t>5_15_75_412</t>
  </si>
  <si>
    <t>5_15_76_413</t>
  </si>
  <si>
    <t>5_15_76_414</t>
  </si>
  <si>
    <t>5_15_76_415</t>
  </si>
  <si>
    <t>5_15_76_416</t>
  </si>
  <si>
    <t>5_15_76_417</t>
  </si>
  <si>
    <t>5_15_76_418</t>
  </si>
  <si>
    <t>5_15_77_419</t>
  </si>
  <si>
    <t>5_15_77_424</t>
  </si>
  <si>
    <t>5_15_77_429</t>
  </si>
  <si>
    <t>5_15_77_434</t>
  </si>
  <si>
    <t>5_15_77_439</t>
  </si>
  <si>
    <t>5_15_77_444</t>
  </si>
  <si>
    <t>5_15_78_420</t>
  </si>
  <si>
    <t>5_15_78_425</t>
  </si>
  <si>
    <t>5_15_78_430</t>
  </si>
  <si>
    <t>5_15_78_435</t>
  </si>
  <si>
    <t>5_15_78_440</t>
  </si>
  <si>
    <t>5_15_79_421</t>
  </si>
  <si>
    <t>5_15_79_426</t>
  </si>
  <si>
    <t>5_15_79_431</t>
  </si>
  <si>
    <t>5_15_79_436</t>
  </si>
  <si>
    <t>5_15_79_441</t>
  </si>
  <si>
    <t>5_15_79_446</t>
  </si>
  <si>
    <t>5_15_81_423</t>
  </si>
  <si>
    <t>5_15_81_428</t>
  </si>
  <si>
    <t>5_15_81_433</t>
  </si>
  <si>
    <t>5_15_81_438</t>
  </si>
  <si>
    <t>5_15_81_443</t>
  </si>
  <si>
    <t>5_15_81_448</t>
  </si>
  <si>
    <t>5_15_80_422</t>
  </si>
  <si>
    <t>5_15_80_427</t>
  </si>
  <si>
    <t>5_15_80_432</t>
  </si>
  <si>
    <t>5_15_80_437</t>
  </si>
  <si>
    <t>5_15_80_442</t>
  </si>
  <si>
    <t>5_15_80_447</t>
  </si>
  <si>
    <t>5_15_73_381</t>
  </si>
  <si>
    <t>5_15_73_2784</t>
  </si>
  <si>
    <t>5_15_73_382</t>
  </si>
  <si>
    <t>5_15_73_2785</t>
  </si>
  <si>
    <t>5_15_83_449</t>
  </si>
  <si>
    <t>5_15_83_450</t>
  </si>
  <si>
    <t>5_15_83_451</t>
  </si>
  <si>
    <t>5_15_83_452</t>
  </si>
  <si>
    <t>5_15_83_453</t>
  </si>
  <si>
    <t>5_15_83_454</t>
  </si>
  <si>
    <t>5_15_84_455</t>
  </si>
  <si>
    <t>5_15_84_456</t>
  </si>
  <si>
    <t>5_15_84_457</t>
  </si>
  <si>
    <t>5_15_84_458</t>
  </si>
  <si>
    <t>5_15_84_459</t>
  </si>
  <si>
    <t>5_15_84_460</t>
  </si>
  <si>
    <t>5_15_84_461</t>
  </si>
  <si>
    <t>5_15_84_462</t>
  </si>
  <si>
    <t>5_15_84_463</t>
  </si>
  <si>
    <t>1_2_11_54</t>
  </si>
  <si>
    <t>1_2_11_55</t>
  </si>
  <si>
    <t>1_2_12_57</t>
  </si>
  <si>
    <t>1_2_12_58</t>
  </si>
  <si>
    <t>1_2_12_59</t>
  </si>
  <si>
    <t>1_2_12_61</t>
  </si>
  <si>
    <t>1_2_12_62</t>
  </si>
  <si>
    <t>1_2_12_60</t>
  </si>
  <si>
    <t>1_2_12_63</t>
  </si>
  <si>
    <t>1_2_12_64</t>
  </si>
  <si>
    <t>1_2_12_65</t>
  </si>
  <si>
    <t>1_2_12_66</t>
  </si>
  <si>
    <t>1_2_12_67</t>
  </si>
  <si>
    <t>1_2_12_68</t>
  </si>
  <si>
    <t>1_2_12_69</t>
  </si>
  <si>
    <t>1_2_12_70</t>
  </si>
  <si>
    <t>1_2_12_71</t>
  </si>
  <si>
    <t>1_2_12_72</t>
  </si>
  <si>
    <t>1_2_12_73</t>
  </si>
  <si>
    <t>1_2_12_74</t>
  </si>
  <si>
    <t>1_2_12_75</t>
  </si>
  <si>
    <t>1_2_13_76</t>
  </si>
  <si>
    <t>1_2_13_79</t>
  </si>
  <si>
    <t>1_2_13_80</t>
  </si>
  <si>
    <t>1_2_13_81</t>
  </si>
  <si>
    <t>1_2_13_88</t>
  </si>
  <si>
    <t>1_2_13_89</t>
  </si>
  <si>
    <t>1_2_13_90</t>
  </si>
  <si>
    <t>1_2_13_91</t>
  </si>
  <si>
    <t>1_2_3_3</t>
  </si>
  <si>
    <t>1_2_3_4</t>
  </si>
  <si>
    <t>1_2_3_5</t>
  </si>
  <si>
    <t>1_2_3_6</t>
  </si>
  <si>
    <t>1_2_3_7</t>
  </si>
  <si>
    <t>1_2_4_9</t>
  </si>
  <si>
    <t>1_2_4_8</t>
  </si>
  <si>
    <t>1_2_4_10</t>
  </si>
  <si>
    <t>1_2_4_2788</t>
  </si>
  <si>
    <t>1_2_5_11</t>
  </si>
  <si>
    <t>1_2_5_13</t>
  </si>
  <si>
    <t>1_2_6_14</t>
  </si>
  <si>
    <t>1_2_6_15</t>
  </si>
  <si>
    <t>1_2_6_16</t>
  </si>
  <si>
    <t>1_3_17_103</t>
  </si>
  <si>
    <t>1_3_17_104</t>
  </si>
  <si>
    <t>1_3_17_105</t>
  </si>
  <si>
    <t>1_3_18_106</t>
  </si>
  <si>
    <t>1_3_19_107</t>
  </si>
  <si>
    <t>1_3_16_98</t>
  </si>
  <si>
    <t>1_3_16_99</t>
  </si>
  <si>
    <t>1_3_20_108</t>
  </si>
  <si>
    <t>1_3_20_110</t>
  </si>
  <si>
    <t>1_3_20_111</t>
  </si>
  <si>
    <t>1_3_20_112</t>
  </si>
  <si>
    <t>1_3_20_113</t>
  </si>
  <si>
    <t>1_3_16_2671</t>
  </si>
  <si>
    <t>1_3_20_117</t>
  </si>
  <si>
    <t>1_3_16_2673</t>
  </si>
  <si>
    <t>1_3_16_2674</t>
  </si>
  <si>
    <t>1_3_16_2675</t>
  </si>
  <si>
    <t>If you have a diversity, equity, and inclusion office or department, please provide the URL of the corresponding Web page:</t>
  </si>
  <si>
    <t>7_26_123_3117</t>
  </si>
  <si>
    <t>5_15_78_445</t>
  </si>
  <si>
    <t>5_18_99_3107</t>
  </si>
  <si>
    <t>5_17_91_484</t>
  </si>
  <si>
    <t>5_17_91_485</t>
  </si>
  <si>
    <t>5_17_91_486</t>
  </si>
  <si>
    <t>7_26_122_2699</t>
  </si>
  <si>
    <t>1_6_33_144</t>
  </si>
  <si>
    <t>5_16_86_3108</t>
  </si>
  <si>
    <t>5_16_87_3110</t>
  </si>
  <si>
    <t>5_16_87_3111</t>
  </si>
  <si>
    <t>5_16_88_3112</t>
  </si>
  <si>
    <t>5_16_88_3113</t>
  </si>
  <si>
    <t>5_16_89_3114</t>
  </si>
  <si>
    <t>5_16_89_3115</t>
  </si>
  <si>
    <t>7_26_123_752</t>
  </si>
  <si>
    <t>7_26_123_755</t>
  </si>
  <si>
    <t>7_26_123_756</t>
  </si>
  <si>
    <t>7_26_123_757</t>
  </si>
  <si>
    <t>7_26_123_758</t>
  </si>
  <si>
    <t>7_26_123_759</t>
  </si>
  <si>
    <t>7_26_188_2718</t>
  </si>
  <si>
    <t>7_26_188_2720</t>
  </si>
  <si>
    <t>7_26_188_2736</t>
  </si>
  <si>
    <t>7_26_188_2737</t>
  </si>
  <si>
    <t>9_33_134_2658</t>
  </si>
  <si>
    <t>9_33_135_2659</t>
  </si>
  <si>
    <t>9_33_136_2662</t>
  </si>
  <si>
    <t>9_33_134_831</t>
  </si>
  <si>
    <t>9_33_135_832</t>
  </si>
  <si>
    <t>9_33_136_833</t>
  </si>
  <si>
    <t>1_6_44_2789</t>
  </si>
  <si>
    <r>
      <t xml:space="preserve">Full-time Undergrad 
</t>
    </r>
    <r>
      <rPr>
        <sz val="9"/>
        <rFont val="Arial"/>
        <family val="2"/>
      </rPr>
      <t>(Incl. First-Year)</t>
    </r>
  </si>
  <si>
    <t>Full-time
Undergrad
(Incl. First-Year)</t>
  </si>
  <si>
    <t xml:space="preserve">  </t>
  </si>
  <si>
    <t>Financial Aid Definitions</t>
  </si>
  <si>
    <t>Common Data Set Definitions</t>
  </si>
  <si>
    <r>
      <t>¨</t>
    </r>
    <r>
      <rPr>
        <sz val="7"/>
        <color rgb="FF000000"/>
        <rFont val="Calibri"/>
        <family val="2"/>
        <scheme val="minor"/>
      </rPr>
      <t xml:space="preserve">        </t>
    </r>
    <r>
      <rPr>
        <b/>
        <sz val="9"/>
        <color rgb="FF000000"/>
        <rFont val="Calibri"/>
        <family val="2"/>
        <scheme val="minor"/>
      </rPr>
      <t>All definitions related to the financial aid section appear at the end of the Definitions document.</t>
    </r>
  </si>
  <si>
    <r>
      <t>¨</t>
    </r>
    <r>
      <rPr>
        <sz val="7"/>
        <color rgb="FF000000"/>
        <rFont val="Calibri"/>
        <family val="2"/>
        <scheme val="minor"/>
      </rPr>
      <t xml:space="preserve">        </t>
    </r>
    <r>
      <rPr>
        <sz val="9"/>
        <color rgb="FF000000"/>
        <rFont val="Calibri"/>
        <family val="2"/>
        <scheme val="minor"/>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</si>
  <si>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</si>
  <si>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Calibri"/>
        <family val="2"/>
        <scheme val="minor"/>
      </rPr>
      <t>Completion of a college program of study in fewer than the usual number of years, most often by attending summer sessions and carrying extra courses during the regular academic term</t>
    </r>
    <r>
      <rPr>
        <b/>
        <sz val="9"/>
        <color rgb="FF000000"/>
        <rFont val="Calibri"/>
        <family val="2"/>
        <scheme val="minor"/>
      </rPr>
      <t>.</t>
    </r>
  </si>
  <si>
    <r>
      <t xml:space="preserve">Admitted student: </t>
    </r>
    <r>
      <rPr>
        <sz val="9"/>
        <color rgb="FF000000"/>
        <rFont val="Calibri"/>
        <family val="2"/>
        <scheme val="minor"/>
      </rPr>
      <t>Applicant who is offered admission to a degree-granting program</t>
    </r>
    <r>
      <rPr>
        <b/>
        <sz val="9"/>
        <color rgb="FF000000"/>
        <rFont val="Calibri"/>
        <family val="2"/>
        <scheme val="minor"/>
      </rPr>
      <t xml:space="preserve"> </t>
    </r>
    <r>
      <rPr>
        <sz val="9"/>
        <color rgb="FF000000"/>
        <rFont val="Calibri"/>
        <family val="2"/>
        <scheme val="minor"/>
      </rPr>
      <t>at your institution.</t>
    </r>
  </si>
  <si>
    <r>
      <t xml:space="preserve">*Adult student services: </t>
    </r>
    <r>
      <rPr>
        <sz val="9"/>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</si>
  <si>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9"/>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</si>
  <si>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9"/>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</si>
  <si>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Calibri"/>
        <family val="2"/>
        <scheme val="minor"/>
      </rPr>
      <t xml:space="preserve">That amount of money that an institution charges for processing a student’s application for acceptance. This amount is </t>
    </r>
    <r>
      <rPr>
        <i/>
        <sz val="9"/>
        <color rgb="FF000000"/>
        <rFont val="Calibri"/>
        <family val="2"/>
        <scheme val="minor"/>
      </rPr>
      <t xml:space="preserve">not </t>
    </r>
    <r>
      <rPr>
        <sz val="9"/>
        <color rgb="FF000000"/>
        <rFont val="Calibri"/>
        <family val="2"/>
        <scheme val="minor"/>
      </rPr>
      <t>creditable toward tuition and required fees, nor is it refundable if the student is not admitted to the institution.</t>
    </r>
  </si>
  <si>
    <r>
      <t>Asian:</t>
    </r>
    <r>
      <rPr>
        <i/>
        <sz val="9"/>
        <color rgb="FF000000"/>
        <rFont val="Calibri"/>
        <family val="2"/>
        <scheme val="minor"/>
      </rPr>
      <t xml:space="preserve"> </t>
    </r>
    <r>
      <rPr>
        <sz val="9"/>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</si>
  <si>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Calibri"/>
        <family val="2"/>
        <scheme val="minor"/>
      </rPr>
      <t>An award that normally requires at least two but less than four years of full-time equivalent college work.</t>
    </r>
  </si>
  <si>
    <r>
      <t xml:space="preserve">Bachelor’s degree: </t>
    </r>
    <r>
      <rPr>
        <sz val="9"/>
        <color rgb="FF000000"/>
        <rFont val="Calibri"/>
        <family val="2"/>
        <scheme val="minor"/>
      </rPr>
      <t xml:space="preserve">An award (baccalaureate or equivalent degree, as determined by the Secretary of the U.S. Department of Education) that normally requires at least four years but </t>
    </r>
    <r>
      <rPr>
        <i/>
        <sz val="9"/>
        <color rgb="FF000000"/>
        <rFont val="Calibri"/>
        <family val="2"/>
        <scheme val="minor"/>
      </rPr>
      <t>not</t>
    </r>
    <r>
      <rPr>
        <sz val="9"/>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</si>
  <si>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Calibri"/>
        <family val="2"/>
        <scheme val="minor"/>
      </rPr>
      <t xml:space="preserve">: </t>
    </r>
    <r>
      <rPr>
        <sz val="9"/>
        <color rgb="FF000000"/>
        <rFont val="Calibri"/>
        <family val="2"/>
        <scheme val="minor"/>
      </rPr>
      <t>A person having origins in any of the black racial groups of Africa.</t>
    </r>
  </si>
  <si>
    <r>
      <t xml:space="preserve">Board (charges): </t>
    </r>
    <r>
      <rPr>
        <sz val="9"/>
        <color rgb="FF000000"/>
        <rFont val="Calibri"/>
        <family val="2"/>
        <scheme val="minor"/>
      </rPr>
      <t>Assume average cost for 19 meals per week or the maximum meal plan.</t>
    </r>
  </si>
  <si>
    <r>
      <t xml:space="preserve">Books and supplies (costs): </t>
    </r>
    <r>
      <rPr>
        <sz val="9"/>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</si>
  <si>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Calibri"/>
        <family val="2"/>
        <scheme val="minor"/>
      </rPr>
      <t>The method by which an institution structures most of its courses for the academic year.</t>
    </r>
  </si>
  <si>
    <r>
      <t>Campus Ministry:</t>
    </r>
    <r>
      <rPr>
        <sz val="9"/>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</si>
  <si>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</si>
  <si>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Calibri"/>
        <family val="2"/>
        <scheme val="minor"/>
      </rPr>
      <t>One year of study or the equivalent in a secondary school subject.</t>
    </r>
  </si>
  <si>
    <r>
      <t xml:space="preserve">Certificate: </t>
    </r>
    <r>
      <rPr>
        <sz val="9"/>
        <color rgb="FF000000"/>
        <rFont val="Calibri"/>
        <family val="2"/>
        <scheme val="minor"/>
      </rPr>
      <t xml:space="preserve">See </t>
    </r>
    <r>
      <rPr>
        <b/>
        <sz val="9"/>
        <color rgb="FF000000"/>
        <rFont val="Calibri"/>
        <family val="2"/>
        <scheme val="minor"/>
      </rPr>
      <t>Postsecondary award, certificate, or diploma.</t>
    </r>
  </si>
  <si>
    <r>
      <t xml:space="preserve">Class rank: </t>
    </r>
    <r>
      <rPr>
        <sz val="9"/>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</si>
  <si>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9"/>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</si>
  <si>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</si>
  <si>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Calibri"/>
        <family val="2"/>
        <scheme val="minor"/>
      </rPr>
      <t>Referral center for students wishing to perform volunteer work in the community or participate in volunteer activities coordinated by academic departments.</t>
    </r>
  </si>
  <si>
    <r>
      <t xml:space="preserve">Commuter: </t>
    </r>
    <r>
      <rPr>
        <sz val="9"/>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</si>
  <si>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Calibri"/>
        <family val="2"/>
        <scheme val="minor"/>
      </rPr>
      <t>A unit of measure that represents an hour of scheduled instruction given to students. Also referred to as contact hour.</t>
    </r>
  </si>
  <si>
    <r>
      <t xml:space="preserve">Continuous basis (for program enrollment): </t>
    </r>
    <r>
      <rPr>
        <sz val="9"/>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</si>
  <si>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Calibri"/>
        <family val="2"/>
        <scheme val="minor"/>
      </rPr>
      <t>A program that provides for alternate class attendance and employment in business, industry, or government.</t>
    </r>
  </si>
  <si>
    <r>
      <t xml:space="preserve">Cooperative housing: </t>
    </r>
    <r>
      <rPr>
        <sz val="9"/>
        <color rgb="FF000000"/>
        <rFont val="Calibri"/>
        <family val="2"/>
        <scheme val="minor"/>
      </rPr>
      <t>College-owned, -operated, or -affiliated housing in which students share room and board expenses and participate in household chores to reduce living expenses.</t>
    </r>
  </si>
  <si>
    <r>
      <t xml:space="preserve">*Counseling service: </t>
    </r>
    <r>
      <rPr>
        <sz val="9"/>
        <color rgb="FF000000"/>
        <rFont val="Calibri"/>
        <family val="2"/>
        <scheme val="minor"/>
      </rPr>
      <t>Activities designed to assist students in making plans and decisions related to their education, career, or personal development.</t>
    </r>
  </si>
  <si>
    <r>
      <t xml:space="preserve">Credit: </t>
    </r>
    <r>
      <rPr>
        <sz val="9"/>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</si>
  <si>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</si>
  <si>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9"/>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</si>
  <si>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Calibri"/>
        <family val="2"/>
        <scheme val="minor"/>
      </rPr>
      <t>A system whereby students enrolled at one institution may take courses at another institution without having to apply to the second institution.</t>
    </r>
  </si>
  <si>
    <r>
      <t xml:space="preserve">Deferred admission: </t>
    </r>
    <r>
      <rPr>
        <sz val="9"/>
        <color rgb="FF000000"/>
        <rFont val="Calibri"/>
        <family val="2"/>
        <scheme val="minor"/>
      </rPr>
      <t>The practice of permitting admitted students to postpone enrollment, usually for a period of one academic term or one year.</t>
    </r>
  </si>
  <si>
    <r>
      <t xml:space="preserve">Degree: </t>
    </r>
    <r>
      <rPr>
        <sz val="9"/>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</si>
  <si>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9"/>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</si>
  <si>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</si>
  <si>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Calibri"/>
        <family val="2"/>
        <scheme val="minor"/>
      </rPr>
      <t xml:space="preserve">See </t>
    </r>
    <r>
      <rPr>
        <b/>
        <sz val="9"/>
        <color rgb="FF000000"/>
        <rFont val="Calibri"/>
        <family val="2"/>
        <scheme val="minor"/>
      </rPr>
      <t>Postsecondary award, certificate, or diploma.</t>
    </r>
  </si>
  <si>
    <r>
      <t xml:space="preserve">Distance learning: </t>
    </r>
    <r>
      <rPr>
        <sz val="9"/>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</si>
  <si>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9"/>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</si>
  <si>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</si>
  <si>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Calibri"/>
        <family val="2"/>
        <scheme val="minor"/>
      </rPr>
      <t>: A doctor’s degree that does not meet the definition of a doctor’s degree - research/scholarship or a doctor’s degree - professional practice.</t>
    </r>
  </si>
  <si>
    <r>
      <t xml:space="preserve">Double major: </t>
    </r>
    <r>
      <rPr>
        <sz val="9"/>
        <color rgb="FF000000"/>
        <rFont val="Calibri"/>
        <family val="2"/>
        <scheme val="minor"/>
      </rPr>
      <t>Program in which students may complete two undergraduate programs of study simultaneously.</t>
    </r>
  </si>
  <si>
    <r>
      <t xml:space="preserve">Dual enrollment: </t>
    </r>
    <r>
      <rPr>
        <sz val="9"/>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</si>
  <si>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</si>
  <si>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</si>
  <si>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9"/>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</si>
  <si>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Calibri"/>
        <family val="2"/>
        <scheme val="minor"/>
      </rPr>
      <t>A course of study designed specifically for students whose native language is not English.</t>
    </r>
  </si>
  <si>
    <r>
      <t xml:space="preserve">Exchange student program-domestic: </t>
    </r>
    <r>
      <rPr>
        <sz val="9"/>
        <color rgb="FF000000"/>
        <rFont val="Calibri"/>
        <family val="2"/>
        <scheme val="minor"/>
      </rPr>
      <t>Any arrangement between a student and a college that permits study for a semester or more at another college</t>
    </r>
    <r>
      <rPr>
        <b/>
        <sz val="9"/>
        <color rgb="FF000000"/>
        <rFont val="Calibri"/>
        <family val="2"/>
        <scheme val="minor"/>
      </rPr>
      <t xml:space="preserve"> in the United States </t>
    </r>
    <r>
      <rPr>
        <sz val="9"/>
        <color rgb="FF000000"/>
        <rFont val="Calibri"/>
        <family val="2"/>
        <scheme val="minor"/>
      </rPr>
      <t xml:space="preserve">without extending the amount of time required for a degree. </t>
    </r>
    <r>
      <rPr>
        <b/>
        <sz val="9"/>
        <color rgb="FF000000"/>
        <rFont val="Calibri"/>
        <family val="2"/>
        <scheme val="minor"/>
      </rPr>
      <t>See also Study abroad</t>
    </r>
    <r>
      <rPr>
        <sz val="9"/>
        <color rgb="FF000000"/>
        <rFont val="Calibri"/>
        <family val="2"/>
        <scheme val="minor"/>
      </rPr>
      <t>.</t>
    </r>
  </si>
  <si>
    <r>
      <t>External degree program:</t>
    </r>
    <r>
      <rPr>
        <sz val="9"/>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</si>
  <si>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</si>
  <si>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</si>
  <si>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First-year student: </t>
    </r>
    <r>
      <rPr>
        <sz val="9"/>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</si>
  <si>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Full-time student (undergraduate): </t>
    </r>
    <r>
      <rPr>
        <sz val="9"/>
        <color rgb="FF000000"/>
        <rFont val="Calibri"/>
        <family val="2"/>
        <scheme val="minor"/>
      </rPr>
      <t>A student enrolled for 12 or more semester credits, 12 or more quarter credits, or 24 or more clock hours a week each term.</t>
    </r>
  </si>
  <si>
    <r>
      <t xml:space="preserve">Geographical residence (as admission factor): </t>
    </r>
    <r>
      <rPr>
        <sz val="9"/>
        <color rgb="FF000000"/>
        <rFont val="Calibri"/>
        <family val="2"/>
        <scheme val="minor"/>
      </rPr>
      <t>Special consideration in the admission process given to students from a particular region, state, or country of residence.</t>
    </r>
  </si>
  <si>
    <r>
      <t xml:space="preserve">Grade-point average (academic high school GPA): </t>
    </r>
    <r>
      <rPr>
        <sz val="9"/>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</si>
  <si>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Calibri"/>
        <family val="2"/>
        <scheme val="minor"/>
      </rPr>
      <t>A student who holds a bachelor’s or equivalent, and is taking courses at the post-baccalaureate level.</t>
    </r>
  </si>
  <si>
    <r>
      <t xml:space="preserve">*Health services: </t>
    </r>
    <r>
      <rPr>
        <sz val="9"/>
        <color rgb="FF000000"/>
        <rFont val="Calibri"/>
        <family val="2"/>
        <scheme val="minor"/>
      </rPr>
      <t>Free or low cost on-campus primary and preventive health care available to students.</t>
    </r>
  </si>
  <si>
    <r>
      <t xml:space="preserve">High school diploma or recognized equivalent: </t>
    </r>
    <r>
      <rPr>
        <sz val="9"/>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</si>
  <si>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Calibri"/>
        <family val="2"/>
        <scheme val="minor"/>
      </rPr>
      <t xml:space="preserve"> </t>
    </r>
    <r>
      <rPr>
        <sz val="9"/>
        <color rgb="FF000000"/>
        <rFont val="Calibri"/>
        <family val="2"/>
        <scheme val="minor"/>
      </rPr>
      <t>A person of Mexican, Puerto Rican, Cuban, South or Central American, or other Spanish culture or origin, regardless of race.</t>
    </r>
  </si>
  <si>
    <r>
      <t>Honors program:</t>
    </r>
    <r>
      <rPr>
        <sz val="9"/>
        <color rgb="FF000000"/>
        <rFont val="Calibri"/>
        <family val="2"/>
        <scheme val="minor"/>
      </rPr>
      <t xml:space="preserve"> Any special program for very able students offering the opportunity for educational enrichment, independent study, acceleration, or some combination of these.</t>
    </r>
    <r>
      <rPr>
        <b/>
        <sz val="9"/>
        <color rgb="FF000000"/>
        <rFont val="Calibri"/>
        <family val="2"/>
        <scheme val="minor"/>
      </rPr>
      <t xml:space="preserve"> </t>
    </r>
  </si>
  <si>
    <r>
      <t xml:space="preserve">Independent study: </t>
    </r>
    <r>
      <rPr>
        <sz val="9"/>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</si>
  <si>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Calibri"/>
        <family val="2"/>
        <scheme val="minor"/>
      </rPr>
      <t>The tuition charged by institutions to those students who meet the state’s or institution’s residency requirements.</t>
    </r>
  </si>
  <si>
    <r>
      <t xml:space="preserve">International student group: </t>
    </r>
    <r>
      <rPr>
        <sz val="9"/>
        <rFont val="Calibri"/>
        <family val="2"/>
        <scheme val="minor"/>
      </rPr>
      <t>Student groups that facilitate cultural dialogue, support a diverse campus, assist international students in acclimation and creating a social network.</t>
    </r>
    <r>
      <rPr>
        <sz val="9"/>
        <color rgb="FF0000FF"/>
        <rFont val="Calibri"/>
        <family val="2"/>
        <scheme val="minor"/>
      </rPr>
      <t> </t>
    </r>
  </si>
  <si>
    <r>
      <t>Internship:</t>
    </r>
    <r>
      <rPr>
        <sz val="9"/>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</si>
  <si>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</si>
  <si>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9"/>
        <color rgb="FF000000"/>
        <rFont val="Calibri"/>
        <family val="2"/>
        <scheme val="minor"/>
      </rPr>
      <t>Free or low cost legal advice for a range of issues (personal and other).</t>
    </r>
  </si>
  <si>
    <r>
      <t xml:space="preserve">Liberal arts/career combination: </t>
    </r>
    <r>
      <rPr>
        <sz val="9"/>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</si>
  <si>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Master's degree</t>
    </r>
    <r>
      <rPr>
        <sz val="9"/>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</si>
  <si>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Calibri"/>
        <family val="2"/>
        <scheme val="minor"/>
      </rPr>
      <t>Special consideration in the admission process for members of designated racial/ethnic minority groups.</t>
    </r>
  </si>
  <si>
    <r>
      <t xml:space="preserve">*Minority student center: </t>
    </r>
    <r>
      <rPr>
        <sz val="9"/>
        <color rgb="FF000000"/>
        <rFont val="Calibri"/>
        <family val="2"/>
        <scheme val="minor"/>
      </rPr>
      <t>Center with programs, activities, and/or services intended to enhance the college experience of students of color.</t>
    </r>
  </si>
  <si>
    <r>
      <t xml:space="preserve">Model United Nations: </t>
    </r>
    <r>
      <rPr>
        <sz val="9"/>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</si>
  <si>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Calibri"/>
        <family val="2"/>
        <scheme val="minor"/>
      </rPr>
      <t xml:space="preserve"> </t>
    </r>
    <r>
      <rPr>
        <sz val="9"/>
        <color rgb="FF000000"/>
        <rFont val="Calibri"/>
        <family val="2"/>
        <scheme val="minor"/>
      </rPr>
      <t>A person having origins in any of the original peoples of Hawaii, Guam, Samoa, or other Pacific Islands.</t>
    </r>
  </si>
  <si>
    <r>
      <t xml:space="preserve">*On-campus day care: </t>
    </r>
    <r>
      <rPr>
        <sz val="9"/>
        <color rgb="FF000000"/>
        <rFont val="Calibri"/>
        <family val="2"/>
        <scheme val="minor"/>
      </rPr>
      <t>Licensed day care for students’ children (usually age 3 and up); usually for a fee.</t>
    </r>
  </si>
  <si>
    <r>
      <t xml:space="preserve">Open admission: </t>
    </r>
    <r>
      <rPr>
        <sz val="9"/>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</si>
  <si>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Calibri"/>
        <family val="2"/>
        <scheme val="minor"/>
      </rPr>
      <t>Include average costs for clothing, laundry, entertainment, medical (if not a required fee), and furnishings.</t>
    </r>
  </si>
  <si>
    <r>
      <t xml:space="preserve">Out-of-state tuition: </t>
    </r>
    <r>
      <rPr>
        <sz val="9"/>
        <color rgb="FF000000"/>
        <rFont val="Calibri"/>
        <family val="2"/>
        <scheme val="minor"/>
      </rPr>
      <t>The tuition charged by institutions to those students who do not meet the institution’s or state’s residency requirements.</t>
    </r>
  </si>
  <si>
    <r>
      <t xml:space="preserve">Part-time student (undergraduate): </t>
    </r>
    <r>
      <rPr>
        <sz val="9"/>
        <color rgb="FF000000"/>
        <rFont val="Calibri"/>
        <family val="2"/>
        <scheme val="minor"/>
      </rPr>
      <t>A student enrolled for fewer than 12 credits per semester or quarter, or fewer than 24 clock hours a week each term.</t>
    </r>
  </si>
  <si>
    <r>
      <t>*Personal counseling</t>
    </r>
    <r>
      <rPr>
        <sz val="9"/>
        <color rgb="FF000000"/>
        <rFont val="Calibri"/>
        <family val="2"/>
        <scheme val="minor"/>
      </rPr>
      <t>: One-on-one or group counseling with trained professionals for students who want to explore personal, educational, or vocational issues.</t>
    </r>
  </si>
  <si>
    <r>
      <t xml:space="preserve">Post-baccalaureate certificate: </t>
    </r>
    <r>
      <rPr>
        <sz val="9"/>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</si>
  <si>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</si>
  <si>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</si>
  <si>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9"/>
        <color rgb="FF000000"/>
        <rFont val="Calibri"/>
        <family val="2"/>
        <scheme val="minor"/>
      </rPr>
      <t>:</t>
    </r>
    <r>
      <rPr>
        <sz val="9"/>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</si>
  <si>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</si>
  <si>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</si>
  <si>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</si>
  <si>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</si>
  <si>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9"/>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</si>
  <si>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Calibri"/>
        <family val="2"/>
        <scheme val="minor"/>
      </rPr>
      <t>See</t>
    </r>
    <r>
      <rPr>
        <b/>
        <sz val="9"/>
        <color rgb="FF000000"/>
        <rFont val="Calibri"/>
        <family val="2"/>
        <scheme val="minor"/>
      </rPr>
      <t xml:space="preserve"> Private for-profit institution.</t>
    </r>
  </si>
  <si>
    <r>
      <t xml:space="preserve">Public institution: </t>
    </r>
    <r>
      <rPr>
        <sz val="9"/>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</si>
  <si>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9"/>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</si>
  <si>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</si>
  <si>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</si>
  <si>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</si>
  <si>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</si>
  <si>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Calibri"/>
        <family val="2"/>
        <scheme val="minor"/>
      </rPr>
      <t>One-on-one or group counseling with trained professionals for students who want to explore religious problems or issues.</t>
    </r>
  </si>
  <si>
    <r>
      <t xml:space="preserve">*Remedial services: </t>
    </r>
    <r>
      <rPr>
        <sz val="9"/>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</si>
  <si>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9"/>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</si>
  <si>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Room and board (charges)—on campus: </t>
    </r>
    <r>
      <rPr>
        <sz val="9"/>
        <color rgb="FF000000"/>
        <rFont val="Calibri"/>
        <family val="2"/>
        <scheme val="minor"/>
      </rPr>
      <t>Assume double occupancy in institutional housing and 19 meals per week (or maximum meal plan).</t>
    </r>
  </si>
  <si>
    <r>
      <t xml:space="preserve">Secondary school record (as admission factor): </t>
    </r>
    <r>
      <rPr>
        <sz val="9"/>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</si>
  <si>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9"/>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</si>
  <si>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9"/>
        <color rgb="FF000000"/>
        <rFont val="Calibri"/>
        <family val="2"/>
        <scheme val="minor"/>
      </rPr>
      <t>A program of study based on individual interests, designed with the assistance of an adviser.</t>
    </r>
  </si>
  <si>
    <r>
      <t>Study abroad:</t>
    </r>
    <r>
      <rPr>
        <sz val="9"/>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</si>
  <si>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</si>
  <si>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Calibri"/>
        <family val="2"/>
        <scheme val="minor"/>
      </rPr>
      <t>Special consideration given to students with demonstrated talent/abilities in areas of interest to the institution (e.g., sports, the arts, languages, etc.).</t>
    </r>
  </si>
  <si>
    <r>
      <t>Teacher certification program:</t>
    </r>
    <r>
      <rPr>
        <sz val="9"/>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</si>
  <si>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9"/>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</si>
  <si>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</si>
  <si>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</si>
  <si>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9"/>
        <color rgb="FF000000"/>
        <rFont val="Calibri"/>
        <family val="2"/>
        <scheme val="minor"/>
      </rPr>
      <t>An academic year consisting of 3 terms of about 15 weeks each.</t>
    </r>
  </si>
  <si>
    <r>
      <t xml:space="preserve">Tuition: </t>
    </r>
    <r>
      <rPr>
        <sz val="9"/>
        <color rgb="FF000000"/>
        <rFont val="Calibri"/>
        <family val="2"/>
        <scheme val="minor"/>
      </rPr>
      <t xml:space="preserve">Amount of money charged to students for instructional services. Tuition may be charged per term, per course, or per credit. </t>
    </r>
  </si>
  <si>
    <r>
      <t xml:space="preserve">*Tutoring: </t>
    </r>
    <r>
      <rPr>
        <sz val="9"/>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</si>
  <si>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Calibri"/>
        <family val="2"/>
        <scheme val="minor"/>
      </rPr>
      <t>a standard of measurement representing hours of academic instruction (e.g., semester credit, quarter credit, clock hour).</t>
    </r>
  </si>
  <si>
    <r>
      <t xml:space="preserve">Undergraduate: </t>
    </r>
    <r>
      <rPr>
        <sz val="9"/>
        <color rgb="FF000000"/>
        <rFont val="Calibri"/>
        <family val="2"/>
        <scheme val="minor"/>
      </rPr>
      <t>A student enrolled in a four- or five-year bachelor’s degree program, an associate degree program, or a vocational or technical program below the baccalaureate.</t>
    </r>
  </si>
  <si>
    <r>
      <t xml:space="preserve">*Veteran’s counseling: </t>
    </r>
    <r>
      <rPr>
        <sz val="9"/>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</si>
  <si>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Calibri"/>
        <family val="2"/>
        <scheme val="minor"/>
      </rPr>
      <t>Any person whose sight loss is not correctable and is sufficiently severe as to adversely affect educational performance.</t>
    </r>
  </si>
  <si>
    <r>
      <t xml:space="preserve">Volunteer work (as admission factor): </t>
    </r>
    <r>
      <rPr>
        <sz val="9"/>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</si>
  <si>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Calibri"/>
        <family val="2"/>
        <scheme val="minor"/>
      </rPr>
      <t xml:space="preserve">List of students who meet the admission requirements but will only be offered a place in the class if space becomes available. </t>
    </r>
  </si>
  <si>
    <r>
      <t>Weekend college:</t>
    </r>
    <r>
      <rPr>
        <sz val="9"/>
        <color rgb="FF000000"/>
        <rFont val="Calibri"/>
        <family val="2"/>
        <scheme val="minor"/>
      </rPr>
      <t xml:space="preserve"> A program that allows students to take a complete course of study and attend classes only on weekends. </t>
    </r>
  </si>
  <si>
    <r>
      <t>White:</t>
    </r>
    <r>
      <rPr>
        <i/>
        <sz val="9"/>
        <color rgb="FF000000"/>
        <rFont val="Calibri"/>
        <family val="2"/>
        <scheme val="minor"/>
      </rPr>
      <t xml:space="preserve"> </t>
    </r>
    <r>
      <rPr>
        <sz val="9"/>
        <color rgb="FF000000"/>
        <rFont val="Calibri"/>
        <family val="2"/>
        <scheme val="minor"/>
      </rPr>
      <t>A person having origins in any of the original peoples of Europe, the Middle East, or North Africa.</t>
    </r>
  </si>
  <si>
    <r>
      <t xml:space="preserve">*Women’s center: </t>
    </r>
    <r>
      <rPr>
        <sz val="9"/>
        <color rgb="FF000000"/>
        <rFont val="Calibri"/>
        <family val="2"/>
        <scheme val="minor"/>
      </rPr>
      <t>Center with programs, academic activities, and/or services intended to promote an understanding of the evolving roles of women.</t>
    </r>
  </si>
  <si>
    <r>
      <t xml:space="preserve">Work experience (as admission factor): </t>
    </r>
    <r>
      <rPr>
        <sz val="9"/>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</si>
  <si>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</si>
  <si>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Calibri"/>
        <family val="2"/>
        <scheme val="minor"/>
      </rPr>
      <t xml:space="preserve">Any applicant who submits </t>
    </r>
    <r>
      <rPr>
        <b/>
        <sz val="9"/>
        <color rgb="FF000000"/>
        <rFont val="Calibri"/>
        <family val="2"/>
        <scheme val="minor"/>
      </rPr>
      <t>any one of</t>
    </r>
    <r>
      <rPr>
        <sz val="9"/>
        <color rgb="FF000000"/>
        <rFont val="Calibri"/>
        <family val="2"/>
        <scheme val="minor"/>
      </rPr>
      <t xml:space="preserve"> the institutionally required financial aid applications/forms, such as the FAFSA. </t>
    </r>
  </si>
  <si>
    <r>
      <t xml:space="preserve">Indebtedness: </t>
    </r>
    <r>
      <rPr>
        <sz val="9"/>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Calibri"/>
        <family val="2"/>
        <scheme val="minor"/>
      </rPr>
      <t>should</t>
    </r>
    <r>
      <rPr>
        <sz val="9"/>
        <color rgb="FF000000"/>
        <rFont val="Calibri"/>
        <family val="2"/>
        <scheme val="minor"/>
      </rPr>
      <t xml:space="preserve"> be included.</t>
    </r>
  </si>
  <si>
    <r>
      <t>Institutional scholarships and grants</t>
    </r>
    <r>
      <rPr>
        <sz val="9"/>
        <color rgb="FF000000"/>
        <rFont val="Calibri"/>
        <family val="2"/>
        <scheme val="minor"/>
      </rPr>
      <t>: Endowed scholarships, annual gifts and tuition funded grants for which the institution determines the recipient.</t>
    </r>
  </si>
  <si>
    <r>
      <t xml:space="preserve">Financial need: </t>
    </r>
    <r>
      <rPr>
        <sz val="9"/>
        <color rgb="FF000000"/>
        <rFont val="Calibri"/>
        <family val="2"/>
        <scheme val="minor"/>
      </rPr>
      <t xml:space="preserve">As determined by your institution using the federal methodology and/or your institution's own standards. </t>
    </r>
  </si>
  <si>
    <r>
      <t xml:space="preserve">Need-based aid: </t>
    </r>
    <r>
      <rPr>
        <sz val="9"/>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</si>
  <si>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Calibri"/>
        <family val="2"/>
        <scheme val="minor"/>
      </rPr>
      <t>Scholarships and grants from institutional, state, federal, or other sources for which a student must have financial need to qualify.</t>
    </r>
  </si>
  <si>
    <r>
      <t xml:space="preserve">Need-based self-help aid: </t>
    </r>
    <r>
      <rPr>
        <sz val="9"/>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</si>
  <si>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9"/>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</si>
  <si>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Calibri"/>
        <family val="2"/>
        <scheme val="minor"/>
      </rPr>
      <t xml:space="preserve">        </t>
    </r>
    <r>
      <rPr>
        <sz val="9"/>
        <color rgb="FF000000"/>
        <rFont val="Calibri"/>
        <family val="2"/>
        <scheme val="minor"/>
      </rPr>
      <t>Non-need institutional grants</t>
    </r>
  </si>
  <si>
    <r>
      <t>2.</t>
    </r>
    <r>
      <rPr>
        <sz val="7"/>
        <color rgb="FF000000"/>
        <rFont val="Calibri"/>
        <family val="2"/>
        <scheme val="minor"/>
      </rPr>
      <t xml:space="preserve">        </t>
    </r>
    <r>
      <rPr>
        <sz val="9"/>
        <color rgb="FF000000"/>
        <rFont val="Calibri"/>
        <family val="2"/>
        <scheme val="minor"/>
      </rPr>
      <t>Non-need tuition waivers</t>
    </r>
  </si>
  <si>
    <r>
      <t>3.</t>
    </r>
    <r>
      <rPr>
        <sz val="7"/>
        <color rgb="FF000000"/>
        <rFont val="Calibri"/>
        <family val="2"/>
        <scheme val="minor"/>
      </rPr>
      <t xml:space="preserve">        </t>
    </r>
    <r>
      <rPr>
        <sz val="9"/>
        <color rgb="FF000000"/>
        <rFont val="Calibri"/>
        <family val="2"/>
        <scheme val="minor"/>
      </rPr>
      <t>Non-need athletic awards</t>
    </r>
  </si>
  <si>
    <r>
      <t>4.</t>
    </r>
    <r>
      <rPr>
        <sz val="7"/>
        <color rgb="FF000000"/>
        <rFont val="Calibri"/>
        <family val="2"/>
        <scheme val="minor"/>
      </rPr>
      <t xml:space="preserve">        </t>
    </r>
    <r>
      <rPr>
        <sz val="9"/>
        <color rgb="FF000000"/>
        <rFont val="Calibri"/>
        <family val="2"/>
        <scheme val="minor"/>
      </rPr>
      <t>Non-need federal grants</t>
    </r>
  </si>
  <si>
    <r>
      <t>5.</t>
    </r>
    <r>
      <rPr>
        <sz val="7"/>
        <color rgb="FF000000"/>
        <rFont val="Calibri"/>
        <family val="2"/>
        <scheme val="minor"/>
      </rPr>
      <t xml:space="preserve">        </t>
    </r>
    <r>
      <rPr>
        <sz val="9"/>
        <color rgb="FF000000"/>
        <rFont val="Calibri"/>
        <family val="2"/>
        <scheme val="minor"/>
      </rPr>
      <t>Non-need state grants</t>
    </r>
  </si>
  <si>
    <r>
      <t>6.</t>
    </r>
    <r>
      <rPr>
        <sz val="7"/>
        <color rgb="FF000000"/>
        <rFont val="Calibri"/>
        <family val="2"/>
        <scheme val="minor"/>
      </rPr>
      <t xml:space="preserve">        </t>
    </r>
    <r>
      <rPr>
        <sz val="9"/>
        <color rgb="FF000000"/>
        <rFont val="Calibri"/>
        <family val="2"/>
        <scheme val="minor"/>
      </rPr>
      <t>Non-need outside grants</t>
    </r>
  </si>
  <si>
    <r>
      <t>7.</t>
    </r>
    <r>
      <rPr>
        <sz val="7"/>
        <color rgb="FF000000"/>
        <rFont val="Calibri"/>
        <family val="2"/>
        <scheme val="minor"/>
      </rPr>
      <t xml:space="preserve">        </t>
    </r>
    <r>
      <rPr>
        <sz val="9"/>
        <color rgb="FF000000"/>
        <rFont val="Calibri"/>
        <family val="2"/>
        <scheme val="minor"/>
      </rPr>
      <t>Non-need student loans</t>
    </r>
  </si>
  <si>
    <r>
      <t>8.</t>
    </r>
    <r>
      <rPr>
        <sz val="7"/>
        <color rgb="FF000000"/>
        <rFont val="Calibri"/>
        <family val="2"/>
        <scheme val="minor"/>
      </rPr>
      <t xml:space="preserve">        </t>
    </r>
    <r>
      <rPr>
        <sz val="9"/>
        <color rgb="FF000000"/>
        <rFont val="Calibri"/>
        <family val="2"/>
        <scheme val="minor"/>
      </rPr>
      <t>Non-need parent loans</t>
    </r>
  </si>
  <si>
    <r>
      <t>9.</t>
    </r>
    <r>
      <rPr>
        <sz val="7"/>
        <color rgb="FF000000"/>
        <rFont val="Calibri"/>
        <family val="2"/>
        <scheme val="minor"/>
      </rPr>
      <t xml:space="preserve">        </t>
    </r>
    <r>
      <rPr>
        <sz val="9"/>
        <color rgb="FF000000"/>
        <rFont val="Calibri"/>
        <family val="2"/>
        <scheme val="minor"/>
      </rPr>
      <t>Non-need work</t>
    </r>
  </si>
  <si>
    <r>
      <t xml:space="preserve">Non-need-based self-help aid: </t>
    </r>
    <r>
      <rPr>
        <sz val="9"/>
        <color rgb="FF000000"/>
        <rFont val="Calibri"/>
        <family val="2"/>
        <scheme val="minor"/>
      </rPr>
      <t>Loans and jobs from institutional, state, or other sources for which a student need not demonstrate financial need to qualify.</t>
    </r>
  </si>
  <si>
    <r>
      <t>Work study and employment</t>
    </r>
    <r>
      <rPr>
        <sz val="9"/>
        <color rgb="FF000000"/>
        <rFont val="Calibri"/>
        <family val="2"/>
        <scheme val="minor"/>
      </rPr>
      <t>: Federal and state work study aid, and any employment packaged by your institution in financial aid awards.</t>
    </r>
  </si>
  <si>
    <r>
      <t xml:space="preserve">Comprehensive transition and postsecondary program for students with intellectual disabilities: </t>
    </r>
    <r>
      <rPr>
        <sz val="9"/>
        <color rgb="FF000000"/>
        <rFont val="Calibri"/>
        <family val="2"/>
        <scheme val="minor"/>
      </rPr>
      <t xml:space="preserve">Programs designed to support postsecondary students with intellectual disabilities obtain instruction in academic, career and technical, and independent living  subjects in preparation for employment. </t>
    </r>
  </si>
  <si>
    <t xml:space="preserve">¨     Additional guidance for some terms, particularly those common with the IPEDS survey, may be found here:
https://surveys.nces.ed.gov/ipeds/public/glossary </t>
  </si>
  <si>
    <r>
      <t xml:space="preserve">Living learning community: </t>
    </r>
    <r>
      <rPr>
        <sz val="9"/>
        <color rgb="FF000000"/>
        <rFont val="Calibri"/>
        <family val="2"/>
        <scheme val="minor"/>
      </rPr>
      <t xml:space="preserve">Residential programs that allow students to interact with students who share common interests. In addition to living together, students may also participate in shared courses, special events, and group service projects. </t>
    </r>
  </si>
  <si>
    <r>
      <t xml:space="preserve">Undergraduate Research: </t>
    </r>
    <r>
      <rPr>
        <sz val="9"/>
        <color rgb="FF000000"/>
        <rFont val="Calibri"/>
        <family val="2"/>
        <scheme val="minor"/>
      </rPr>
      <t xml:space="preserve">Opportunities offered to undergraduate students to make original contributions in an academic discipline via the exploration of a specific research topic. Research opportunities may or may not be associated with a specific course or earn credit. </t>
    </r>
  </si>
  <si>
    <t>5_16_86_3109</t>
  </si>
  <si>
    <t>7_26_123_753</t>
  </si>
  <si>
    <r>
      <rPr>
        <b/>
        <sz val="14"/>
        <rFont val="Arial"/>
        <family val="2"/>
      </rPr>
      <t xml:space="preserve">First-time, first-year students: </t>
    </r>
    <r>
      <rPr>
        <sz val="14"/>
        <rFont val="Arial"/>
        <family val="2"/>
      </rPr>
      <t xml:space="preserve">Provide the number of degree-seeking, first-time, first-year students who applied, were admitted, and enrolled (full- or part-time) in </t>
    </r>
    <r>
      <rPr>
        <b/>
        <sz val="14"/>
        <rFont val="Arial"/>
        <family val="2"/>
      </rPr>
      <t xml:space="preserve">Fall </t>
    </r>
    <r>
      <rPr>
        <b/>
        <sz val="14"/>
        <color theme="1"/>
        <rFont val="Arial"/>
        <family val="2"/>
      </rPr>
      <t>2022</t>
    </r>
    <r>
      <rPr>
        <sz val="14"/>
        <rFont val="Arial"/>
        <family val="2"/>
      </rPr>
      <t xml:space="preserve">. </t>
    </r>
  </si>
  <si>
    <r>
      <t xml:space="preserve">If yes, please answer the questions below for </t>
    </r>
    <r>
      <rPr>
        <b/>
        <sz val="14"/>
        <rFont val="Arial"/>
        <family val="2"/>
      </rPr>
      <t xml:space="preserve">Fall </t>
    </r>
    <r>
      <rPr>
        <b/>
        <sz val="14"/>
        <color theme="1"/>
        <rFont val="Arial"/>
        <family val="2"/>
      </rPr>
      <t>2022</t>
    </r>
    <r>
      <rPr>
        <sz val="14"/>
        <rFont val="Arial"/>
        <family val="2"/>
      </rPr>
      <t xml:space="preserve"> admissions:</t>
    </r>
  </si>
  <si>
    <r>
      <t xml:space="preserve">     •     </t>
    </r>
    <r>
      <rPr>
        <sz val="12"/>
        <color indexed="8"/>
        <rFont val="Arial"/>
        <family val="2"/>
      </rPr>
      <t>If you consider the highest scores from either submission, use the highest combination of scores 
            (e.g., verbal from one submission, math from the other).</t>
    </r>
  </si>
  <si>
    <r>
      <t xml:space="preserve">     •     </t>
    </r>
    <r>
      <rPr>
        <sz val="12"/>
        <color indexed="8"/>
        <rFont val="Arial"/>
        <family val="2"/>
      </rPr>
      <t>If you average the scores, use the average to report the scores.</t>
    </r>
  </si>
  <si>
    <r>
      <t xml:space="preserve">Percent and number of first-time, first-year students enrolled in Fall </t>
    </r>
    <r>
      <rPr>
        <b/>
        <sz val="12"/>
        <color theme="1"/>
        <rFont val="Arial"/>
        <family val="2"/>
      </rPr>
      <t>2022</t>
    </r>
    <r>
      <rPr>
        <b/>
        <sz val="12"/>
        <rFont val="Arial"/>
        <family val="2"/>
      </rPr>
      <t xml:space="preserve"> who submitted national standardized (SAT/ACT) test scores.</t>
    </r>
  </si>
  <si>
    <r>
      <t xml:space="preserve">For the Fall </t>
    </r>
    <r>
      <rPr>
        <b/>
        <sz val="12"/>
        <color theme="1"/>
        <rFont val="Arial"/>
        <family val="2"/>
      </rPr>
      <t>2022</t>
    </r>
    <r>
      <rPr>
        <b/>
        <sz val="12"/>
        <rFont val="Arial"/>
        <family val="2"/>
      </rPr>
      <t xml:space="preserve"> entering class:</t>
    </r>
  </si>
  <si>
    <t>1_2_13_92</t>
  </si>
  <si>
    <r>
      <t xml:space="preserve">Provide numbers of students for each of the following categories as of the institution's official fall reporting date or as of </t>
    </r>
    <r>
      <rPr>
        <b/>
        <u/>
        <sz val="10"/>
        <rFont val="Arial"/>
        <family val="2"/>
      </rPr>
      <t xml:space="preserve">October 13, </t>
    </r>
    <r>
      <rPr>
        <b/>
        <u/>
        <sz val="10"/>
        <color theme="1"/>
        <rFont val="Arial"/>
        <family val="2"/>
      </rPr>
      <t>2022</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</si>
  <si>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13, </t>
    </r>
    <r>
      <rPr>
        <b/>
        <u/>
        <sz val="10"/>
        <color theme="1"/>
        <rFont val="Arial"/>
        <family val="2"/>
      </rPr>
      <t>2022</t>
    </r>
    <r>
      <rPr>
        <sz val="10"/>
        <rFont val="Arial"/>
        <family val="2"/>
      </rPr>
      <t xml:space="preserve">. </t>
    </r>
  </si>
  <si>
    <r>
      <t xml:space="preserve">Number of degrees awarded by your institution from </t>
    </r>
    <r>
      <rPr>
        <b/>
        <u/>
        <sz val="10"/>
        <rFont val="Arial"/>
        <family val="2"/>
      </rPr>
      <t xml:space="preserve">July 1, </t>
    </r>
    <r>
      <rPr>
        <b/>
        <u/>
        <sz val="10"/>
        <color theme="1"/>
        <rFont val="Arial"/>
        <family val="2"/>
      </rPr>
      <t>2021, to June 30, 2022</t>
    </r>
    <r>
      <rPr>
        <b/>
        <sz val="10"/>
        <rFont val="Arial"/>
        <family val="2"/>
      </rPr>
      <t>.</t>
    </r>
  </si>
  <si>
    <r>
      <t xml:space="preserve">•     For complete instructions and definitions of data elements, see the IPEDS GRS Forms and Instructions 
      for the </t>
    </r>
    <r>
      <rPr>
        <sz val="10"/>
        <color theme="1"/>
        <rFont val="Arial"/>
        <family val="2"/>
      </rPr>
      <t>2022-2023</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</si>
  <si>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In the following section for bachelor’s or equivalent programs, please disaggregate the Fall </t>
    </r>
    <r>
      <rPr>
        <b/>
        <sz val="10"/>
        <color theme="1"/>
        <rFont val="Arial"/>
        <family val="2"/>
      </rPr>
      <t xml:space="preserve">2015 and Fall 2016 </t>
    </r>
    <r>
      <rPr>
        <b/>
        <sz val="10"/>
        <rFont val="Arial"/>
        <family val="2"/>
      </rPr>
      <t>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</si>
  <si>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</si>
  <si>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Fall 2016 Cohort</t>
  </si>
  <si>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</si>
  <si>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</si>
  <si>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</si>
  <si>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2016 cohort, how many completed the program in four years or less (by Aug. 31, 2020)</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</si>
  <si>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</si>
  <si>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</si>
  <si>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</si>
  <si>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2015 Cohort</t>
  </si>
  <si>
    <t>Initial 2015 cohort of first-time, full-time, bachelor's (or equivalent) degree-seeking undergraduate students</t>
  </si>
  <si>
    <r>
      <rPr>
        <sz val="9"/>
        <color theme="1"/>
        <rFont val="Arial"/>
        <family val="2"/>
      </rPr>
      <t xml:space="preserve">Of the initial 2015 cohort, how many did not persist and did not graduate for the following reasons: </t>
    </r>
    <r>
      <rPr>
        <sz val="7"/>
        <color theme="1"/>
        <rFont val="Arial"/>
        <family val="2"/>
      </rPr>
      <t xml:space="preserve">
</t>
    </r>
    <r>
      <rPr>
        <sz val="8"/>
        <color theme="1"/>
        <rFont val="Arial"/>
        <family val="2"/>
      </rPr>
      <t>• Deceased
• Permanently Disabled
• Armed Forces
• Foreign Aid Service of the Federal Government
• Official church missions
• Report Total Allowable Exclusions</t>
    </r>
  </si>
  <si>
    <t>Final 2015 cohort, after adjusting for allowable exclusions</t>
  </si>
  <si>
    <t>Of the initial 2015 cohort, how many completed the program in four years or less (by Aug. 31, 2019)</t>
  </si>
  <si>
    <t>Of the initial 2015 cohort, how many completed the program in more than four years but in five years or less (after Aug. 31, 2019 and by Aug. 31, 2020)</t>
  </si>
  <si>
    <t>Of the initial 2015 cohort, how many completed the program in more than five years but in six years or less (after Aug. 31, 2020 and by Aug. 31, 2021)</t>
  </si>
  <si>
    <t>Six-year graduation rate for 2015 cohort (G divided by C)</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</si>
  <si>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</si>
  <si>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</si>
  <si>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t>2018 Cohort</t>
  </si>
  <si>
    <t xml:space="preserve">Report for the cohort of all full-time, first-time bachelor’s (or equivalent) degree-seeking undergraduate students who entered in Fall 2021 (or the preceding summer term). </t>
  </si>
  <si>
    <r>
      <t xml:space="preserve">Provide the number of students who applied, were admitted, and enrolled as degree-seeking transfer students in </t>
    </r>
    <r>
      <rPr>
        <b/>
        <u/>
        <sz val="10"/>
        <color theme="1"/>
        <rFont val="Arial"/>
        <family val="2"/>
      </rPr>
      <t>Fall 2022.</t>
    </r>
  </si>
  <si>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</si>
  <si>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</si>
  <si>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r>
      <t xml:space="preserve">List the typical tuition, required fees, and room and board for a full-time undergraduate student for the </t>
    </r>
    <r>
      <rPr>
        <b/>
        <sz val="10"/>
        <color indexed="8"/>
        <rFont val="Arial"/>
        <family val="2"/>
      </rPr>
      <t xml:space="preserve">FULL </t>
    </r>
    <r>
      <rPr>
        <b/>
        <sz val="10"/>
        <color theme="1"/>
        <rFont val="Arial"/>
        <family val="2"/>
      </rPr>
      <t>2023-2024</t>
    </r>
    <r>
      <rPr>
        <sz val="10"/>
        <color indexed="8"/>
        <rFont val="Arial"/>
        <family val="2"/>
      </rPr>
      <t xml:space="preserve"> academic year. (30 semester hours or 45 quarter hours for institutions that derive annual tuition by multiplying credit hour cost by number of credits). </t>
    </r>
  </si>
  <si>
    <t>Please report the number of instructional faculty members in each category for Fall 2022. Include faculty who are on your institution’s payroll on the census date your institution uses for IPEDS/AAUP.</t>
  </si>
  <si>
    <t>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</si>
  <si>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In the table below, please use the following definitions to report information about the size of classes and class sections offered in the Fall 2022 term.</t>
  </si>
  <si>
    <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</si>
  <si>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t>
  </si>
  <si>
    <t>Percent (%)</t>
  </si>
  <si>
    <t xml:space="preserve">First-time, first-year students </t>
  </si>
  <si>
    <r>
      <rPr>
        <b/>
        <u/>
        <sz val="10"/>
        <rFont val="Arial"/>
        <family val="2"/>
      </rPr>
      <t>Percent</t>
    </r>
    <r>
      <rPr>
        <b/>
        <sz val="10"/>
        <rFont val="Arial"/>
        <family val="2"/>
      </rPr>
      <t xml:space="preserve"> of the class (defined above) who borrowed from the types of loans specified in the first column (nearest 1%)</t>
    </r>
  </si>
  <si>
    <r>
      <t xml:space="preserve">For each of the following discipline areas, provide the </t>
    </r>
    <r>
      <rPr>
        <b/>
        <u/>
        <sz val="10"/>
        <rFont val="Arial"/>
        <family val="2"/>
      </rPr>
      <t>percentage</t>
    </r>
    <r>
      <rPr>
        <sz val="10"/>
        <rFont val="Arial"/>
        <family val="2"/>
      </rPr>
      <t xml:space="preserv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r>
  </si>
  <si>
    <t>If yes, place check marks in the appropriate boxes below to reflect your institution’s policies for use in admission for Fall 2024.</t>
  </si>
  <si>
    <t>If your institution has waived its application fee for the Fall 2024 admission cycle please select no.</t>
  </si>
  <si>
    <t>Fall 2022 Student to Faculty ratio</t>
  </si>
  <si>
    <t>Number of wait-listed students admitted:</t>
  </si>
  <si>
    <r>
      <t xml:space="preserve">Provide information for </t>
    </r>
    <r>
      <rPr>
        <b/>
        <sz val="13"/>
        <color indexed="8"/>
        <rFont val="Arial"/>
        <family val="2"/>
      </rPr>
      <t>ALL enrolled, degree-seeking, full-time and part-time, first-time, first-year students</t>
    </r>
    <r>
      <rPr>
        <sz val="13"/>
        <color indexed="8"/>
        <rFont val="Arial"/>
        <family val="2"/>
      </rPr>
      <t xml:space="preserve"> enrolled in </t>
    </r>
    <r>
      <rPr>
        <b/>
        <sz val="13"/>
        <color indexed="8"/>
        <rFont val="Arial"/>
        <family val="2"/>
      </rPr>
      <t xml:space="preserve">Fall </t>
    </r>
    <r>
      <rPr>
        <b/>
        <sz val="13"/>
        <color theme="1"/>
        <rFont val="Arial"/>
        <family val="2"/>
      </rPr>
      <t>2022</t>
    </r>
    <r>
      <rPr>
        <sz val="13"/>
        <color indexed="8"/>
        <rFont val="Arial"/>
        <family val="2"/>
      </rPr>
      <t>, including students who began studies during summer, international students/nonresidents, and students admitted under special arrangements.</t>
    </r>
  </si>
  <si>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</si>
  <si>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</si>
  <si>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</si>
  <si>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</si>
  <si>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</si>
  <si>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</si>
  <si>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Percent of total first-time, first-year students who submitted high school class rank:</t>
  </si>
  <si>
    <t>Must a transfer applicant have a minimum number of credits completed or else must apply as an entering first-year student?</t>
  </si>
  <si>
    <t>Percent who are from out of state (exclude international/nonresidents from the numerator and denominator)</t>
  </si>
  <si>
    <t>Percentages of first-time, first-year degree-seeking students and degree-seeking undergraduates enrolled in Fall 2022 who fit the following categories:</t>
  </si>
  <si>
    <t>Tuition: Non-residents</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</si>
  <si>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</si>
  <si>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</si>
  <si>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</si>
  <si>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Total dollar amount of institutional financial aid awarded to undergraduate degree-seeking nonresidents:</t>
  </si>
  <si>
    <t>Check off all financial aid forms nonresident first-year financial aid applicants must submit:</t>
  </si>
  <si>
    <t>Check off all financial aid forms domestic first-year financial aid applicants must submit:</t>
  </si>
  <si>
    <t>Indicate filing dates for first-year students:</t>
  </si>
  <si>
    <t>Indicate notification dates for first-year students (answer a or b):</t>
  </si>
  <si>
    <t>If institutional financial aid is available for undergraduate degree-seeking nonresidents, provide the number of undergraduate degree-seeking nonresidents who were awarded need-based or non-need-based aid:</t>
  </si>
  <si>
    <t>Process for First-Year Students</t>
  </si>
  <si>
    <t>Total number who are nonresidents (international)</t>
  </si>
  <si>
    <r>
      <t xml:space="preserve">International student: </t>
    </r>
    <r>
      <rPr>
        <sz val="9"/>
        <color rgb="FF000000"/>
        <rFont val="Calibri"/>
        <family val="2"/>
        <scheme val="minor"/>
      </rPr>
      <t>See</t>
    </r>
    <r>
      <rPr>
        <b/>
        <sz val="9"/>
        <color rgb="FF000000"/>
        <rFont val="Calibri"/>
        <family val="2"/>
        <scheme val="minor"/>
      </rPr>
      <t xml:space="preserve"> Nonresident.</t>
    </r>
  </si>
  <si>
    <r>
      <t xml:space="preserve">Nonresident: </t>
    </r>
    <r>
      <rPr>
        <sz val="9"/>
        <color rgb="FF000000"/>
        <rFont val="Calibri"/>
        <family val="2"/>
        <scheme val="minor"/>
      </rPr>
      <t>A person who is not a citizen or national of the United States and who is in this country on a visa or temporary basis and does not have the right to remain indefinitely.</t>
    </r>
  </si>
  <si>
    <r>
      <t xml:space="preserve">First-time, first-year student: </t>
    </r>
    <r>
      <rPr>
        <sz val="9"/>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</si>
  <si>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*First-year/new student orientation: </t>
    </r>
    <r>
      <rPr>
        <sz val="9"/>
        <color rgb="FF000000"/>
        <rFont val="Calibri"/>
        <family val="2"/>
        <scheme val="minor"/>
      </rPr>
      <t>Orientation addressing the academic, social, emotional, and intellectual issues involved in beginning college. May be a few hours or a few days in length; at some colleges, there is a fee.</t>
    </r>
  </si>
  <si>
    <t>Comprehensive transition and postsecondary program for students with 
intellectuial disabilities</t>
  </si>
  <si>
    <t>NONRESIDENTS:</t>
  </si>
  <si>
    <r>
      <rPr>
        <b/>
        <sz val="9"/>
        <color rgb="FF000000"/>
        <rFont val="Calibri"/>
        <family val="2"/>
        <scheme val="minor"/>
      </rPr>
      <t xml:space="preserve">Permanent Resident or other eligible non-citizen: </t>
    </r>
    <r>
      <rPr>
        <sz val="9"/>
        <color rgb="FF000000"/>
        <rFont val="Calibri"/>
        <family val="2"/>
        <scheme val="minor"/>
      </rPr>
      <t xml:space="preserve">A person who is not a citizen or national of the United States and who has been admitted as a legal immigrant for the purpose of obtaining permanent resident status (and who holds either a Permanent Resident Card [Form I-551 or I-151], a Temporary Resident Card [Form I-688], or an Arrival-Departure Record [Form I-94] with a notation that conveys legal immigrant status, such as Section 207 Refugee, Section 208 Asylee, Conditional Entrant Parolee or Cuban-Haitian). </t>
    </r>
  </si>
  <si>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</si>
  <si>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</si>
  <si>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t xml:space="preserve">
Full-time First-Time First-Year</t>
  </si>
  <si>
    <t>Full-time First-Time First-Year</t>
  </si>
  <si>
    <t>For the cohort of all full-time bachelor’s (or equivalent) degree-seeking undergraduate students who entered your institution as first-time, first-year students in Fall 2021 (or the preceding summer term), what percentage was enrolled at your institution as of the date your institution calculates its official enrollment in Fall 2022.</t>
  </si>
  <si>
    <t>Non-Need-Based</t>
  </si>
  <si>
    <t>1_2_13_93</t>
  </si>
  <si>
    <t>C5</t>
  </si>
  <si>
    <r>
      <rPr>
        <b/>
        <sz val="14"/>
        <color theme="1"/>
        <rFont val="Arial"/>
        <family val="2"/>
      </rPr>
      <t xml:space="preserve">Distribution of high school units required and/or recommended. </t>
    </r>
    <r>
      <rPr>
        <sz val="14"/>
        <color theme="1"/>
        <rFont val="Arial"/>
        <family val="2"/>
      </rPr>
      <t xml:space="preserve"> Specify the distribution of academic units required and/or recommended of all or most degree-seeking students using Carnegie units (one unit equals one year of study or its equivalent). If you use a different system for calculating units, please convert.</t>
    </r>
  </si>
  <si>
    <t>Total Academic Units</t>
  </si>
  <si>
    <t>Science</t>
  </si>
  <si>
    <t xml:space="preserve">    Of these, units that must be lab</t>
  </si>
  <si>
    <t>Foreign Language</t>
  </si>
  <si>
    <t>Social Studies</t>
  </si>
  <si>
    <t>Academic Electives</t>
  </si>
  <si>
    <t>Computer Science</t>
  </si>
  <si>
    <t>Visual/Performing Arts</t>
  </si>
  <si>
    <t>Units
Required</t>
  </si>
  <si>
    <t>Units
Recommended</t>
  </si>
  <si>
    <t>1_2_10_32</t>
  </si>
  <si>
    <t>1_2_10_34</t>
  </si>
  <si>
    <t>1_2_10_36</t>
  </si>
  <si>
    <t>1_2_10_38</t>
  </si>
  <si>
    <t>1_2_10_40</t>
  </si>
  <si>
    <t>1_2_10_42</t>
  </si>
  <si>
    <t>1_2_10_44</t>
  </si>
  <si>
    <t>1_2_10_46</t>
  </si>
  <si>
    <t>1_2_10_52</t>
  </si>
  <si>
    <t>1_2_10_48</t>
  </si>
  <si>
    <t>1_2_10_49</t>
  </si>
  <si>
    <t>1_2_10_33</t>
  </si>
  <si>
    <t>1_2_10_35</t>
  </si>
  <si>
    <t>1_2_10_37</t>
  </si>
  <si>
    <t>1_2_10_39</t>
  </si>
  <si>
    <t>1_2_10_41</t>
  </si>
  <si>
    <t>1_2_10_43</t>
  </si>
  <si>
    <t>1_2_10_45</t>
  </si>
  <si>
    <t>1_2_10_47</t>
  </si>
  <si>
    <t>1_2_10_53</t>
  </si>
  <si>
    <t>1_2_10_50</t>
  </si>
  <si>
    <t>1_2_10_51</t>
  </si>
  <si>
    <t>Rev. 12/7/22</t>
  </si>
  <si>
    <t>Rachael Reavis</t>
  </si>
  <si>
    <t>Associate Professor of Psychology; Executive Director of Institutional Effectiveness</t>
  </si>
  <si>
    <t>801 National Road West</t>
  </si>
  <si>
    <t>Richmond</t>
  </si>
  <si>
    <t>Indiana</t>
  </si>
  <si>
    <t>Wayne</t>
  </si>
  <si>
    <t>institutionaleffectiveness@earlham.edu</t>
  </si>
  <si>
    <t>Yes</t>
  </si>
  <si>
    <t xml:space="preserve"> https://earlham.edu/about/leadership-and-governance/administrative-departments/institutional-effectiveness/common-data-set/</t>
  </si>
  <si>
    <t>Earlham College</t>
  </si>
  <si>
    <t>Richmond/ Indiana/47374/USA</t>
  </si>
  <si>
    <t>https://earlham.edu</t>
  </si>
  <si>
    <t>USA</t>
  </si>
  <si>
    <t xml:space="preserve"> admissions@earlham.edu</t>
  </si>
  <si>
    <t>https://earlham.edu/admissions/how-to-apply/undergraduate-admissions/</t>
  </si>
  <si>
    <t>no</t>
  </si>
  <si>
    <t xml:space="preserve">	Earlham College adopted a test-optional policy in 2011 and no longer requires students to submit standardized test scores (either SAT or ACT) with other materials in support of their application for admission (*see below for exceptions). For many students, standardized test results are not an optimal predictor of the ability to succeed in college. Furthermore, Earlham has always taken a holistic approach in its review of students' applications for admission, considering academic achievement, writing ability (the essay is very important) and letters of recommendation from teachers and guidance counselors. In determining academic ability and college readiness, the College gives particular weight to a student's performance in high school courses and the quality of their chosen college preparatory academic program. Earlham also recognizes applicants' commitments, accomplishments and contributions beyond the classroom. Under Earlham's test-optional policy, applicants can submit their scores and choose to have them considered or ask that the scores not be taken into account during review for admission. Earlham accepts the best score on each section of a student's test. Students indicate their preference for use of test results on the Earlham section of the Common Application and may elect to consult with the Earlham Admission Staff about their decision. Test score results are also not required by Earlham for review of admitted students for merit scholarships. For reference, the middle 50% of enrolled applicants who chose to submit a standardized test score ranged between a SAT (critical reading and math) total score of 1170 to 1350 or an ACT composite score between 24 and 32.*International students for whom English is not their first language must submit results from an English proficiency test. We accept TOEFL, IELTS, Duolingo English Test, Pearson, SAT, and ACT.
</t>
  </si>
  <si>
    <t>NO</t>
  </si>
  <si>
    <t>YES</t>
  </si>
  <si>
    <t>Credit hour</t>
  </si>
  <si>
    <t>Credut hour</t>
  </si>
  <si>
    <t xml:space="preserve"> Must take Biological or Physical science or Mathematics or Computer Science</t>
  </si>
  <si>
    <t>https://earlham.edu/cost-affordability/net-price-calculator/</t>
  </si>
  <si>
    <t>x</t>
  </si>
  <si>
    <t>yes</t>
  </si>
  <si>
    <t>2022-2023</t>
  </si>
  <si>
    <t>Inspire Program: https://earlham.edu/cost-affordability/types-of-aid/inspire-program/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</si>
</sst>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_);[Red]\(&quot;$&quot;#,##0.00\)"/>
    <numFmt numFmtId="44" formatCode="_(&quot;$&quot;* #,##0.00_);_(&quot;$&quot;* \(#,##0.00\);_(&quot;$&quot;* &quot;-&quot;??_);_(@_)"/>
    <numFmt numFmtId="43" formatCode="_(* #,##0.00_);_(* \(#,##0.00\);_(* &quot;-&quot;??_);_(@_)"/>
    <numFmt numFmtId="164" formatCode="&quot;$&quot;#,##0;[Red]&quot;$&quot;#,##0"/>
    <numFmt numFmtId="165" formatCode="_(&quot;$&quot;\ \ \ #,##0_);_(&quot;$&quot;* \(#,##0\);_(&quot;$&quot;* &quot;-&quot;??_);_(@_)"/>
    <numFmt numFmtId="166" formatCode="_(&quot;$&quot;\ \ \ #,##0_);_(&quot;$&quot;* \(#,##0\);_(&quot;$&quot;\ \ &quot;0&quot;??_);_(@_)"/>
    <numFmt numFmtId="167" formatCode="&quot;$&quot;#,##0"/>
    <numFmt numFmtId="168" formatCode="m/d"/>
    <numFmt numFmtId="169" formatCode="&quot;$&quot;#,##0.00"/>
    <numFmt numFmtId="170" formatCode="[&lt;=9999999]###\-####;\(###\)\ ###\-####"/>
    <numFmt numFmtId="171" formatCode="mmmm\ d\,\ yyyy"/>
    <numFmt numFmtId="172" formatCode="#,##0.0_);\(#,##0.0\)"/>
    <numFmt numFmtId="173" formatCode="m/d;@"/>
  </numFmts>
  <fonts count="97" x14ac:knownFonts="1">
    <font>
      <sz val="12"/>
      <color theme="1"/>
      <name val="Calibri"/>
      <family val="2"/>
      <scheme val="minor"/>
    </font>
    <font>
      <sz val="10"/>
      <name val="Arial"/>
      <family val="2"/>
    </font>
    <font>
      <b/>
      <sz val="14"/>
      <name val="Arial"/>
      <family val="2"/>
    </font>
    <font>
      <b/>
      <sz val="11"/>
      <name val="Arial"/>
      <family val="2"/>
    </font>
    <font>
      <b/>
      <sz val="10"/>
      <name val="Arial"/>
      <family val="2"/>
    </font>
    <font>
      <sz val="10"/>
      <color indexed="8"/>
      <name val="Arial"/>
      <family val="2"/>
    </font>
    <font>
      <b/>
      <sz val="10"/>
      <color indexed="8"/>
      <name val="Arial"/>
      <family val="2"/>
    </font>
    <font>
      <b/>
      <sz val="10"/>
      <color rgb="FFFF0000"/>
      <name val="Arial"/>
      <family val="2"/>
    </font>
    <font>
      <b/>
      <sz val="12"/>
      <color indexed="8"/>
      <name val="Arial"/>
      <family val="2"/>
    </font>
    <font>
      <sz val="12"/>
      <color indexed="8"/>
      <name val="Arial"/>
      <family val="2"/>
    </font>
    <font>
      <sz val="10"/>
      <color rgb="FF00B050"/>
      <name val="Arial"/>
      <family val="2"/>
    </font>
    <font>
      <b/>
      <sz val="10"/>
      <color rgb="FF00B050"/>
      <name val="Arial"/>
      <family val="2"/>
    </font>
    <font>
      <u/>
      <sz val="10"/>
      <name val="Arial"/>
      <family val="2"/>
    </font>
    <font>
      <sz val="10"/>
      <color rgb="FFFF0000"/>
      <name val="Arial"/>
      <family val="2"/>
    </font>
    <font>
      <sz val="9"/>
      <name val="Arial"/>
      <family val="2"/>
    </font>
    <font>
      <b/>
      <sz val="9"/>
      <name val="Arial"/>
      <family val="2"/>
    </font>
    <font>
      <sz val="9"/>
      <color rgb="FF00B050"/>
      <name val="Arial"/>
      <family val="2"/>
    </font>
    <font>
      <u/>
      <sz val="9"/>
      <name val="Arial"/>
      <family val="2"/>
    </font>
    <font>
      <sz val="8"/>
      <name val="Arial"/>
      <family val="2"/>
    </font>
    <font>
      <b/>
      <sz val="12"/>
      <name val="Arial"/>
      <family val="2"/>
    </font>
    <font>
      <sz val="11"/>
      <color theme="1"/>
      <name val="Calibri"/>
      <family val="2"/>
      <scheme val="minor"/>
    </font>
    <font>
      <i/>
      <sz val="10"/>
      <name val="Arial"/>
      <family val="2"/>
    </font>
    <font>
      <b/>
      <i/>
      <sz val="10"/>
      <name val="Arial"/>
      <family val="2"/>
    </font>
    <font>
      <i/>
      <sz val="9"/>
      <name val="Arial"/>
      <family val="2"/>
    </font>
    <font>
      <b/>
      <i/>
      <sz val="9"/>
      <name val="Arial"/>
      <family val="2"/>
    </font>
    <font>
      <sz val="7"/>
      <name val="Arial"/>
      <family val="2"/>
    </font>
    <font>
      <sz val="9"/>
      <color rgb="FF222222"/>
      <name val="Arial"/>
      <family val="2"/>
    </font>
    <font>
      <sz val="8"/>
      <color rgb="FF222222"/>
      <name val="Arial"/>
      <family val="2"/>
    </font>
    <font>
      <b/>
      <sz val="10"/>
      <color rgb="FF222222"/>
      <name val="Arial"/>
      <family val="2"/>
    </font>
    <font>
      <b/>
      <u/>
      <sz val="10"/>
      <name val="Arial"/>
      <family val="2"/>
    </font>
    <font>
      <u/>
      <sz val="10"/>
      <color indexed="12"/>
      <name val="Arial"/>
      <family val="2"/>
    </font>
    <font>
      <u/>
      <sz val="10"/>
      <color rgb="FF0000FF"/>
      <name val="Arial"/>
      <family val="2"/>
    </font>
    <font>
      <b/>
      <i/>
      <sz val="10"/>
      <color indexed="8"/>
      <name val="Arial"/>
      <family val="2"/>
    </font>
    <font>
      <sz val="9"/>
      <color rgb="FF000000"/>
      <name val="Arial"/>
      <family val="2"/>
    </font>
    <font>
      <sz val="10"/>
      <color rgb="FF000000"/>
      <name val="Arial"/>
      <family val="2"/>
    </font>
    <font>
      <b/>
      <sz val="8"/>
      <name val="Arial"/>
      <family val="2"/>
    </font>
    <font>
      <b/>
      <sz val="7"/>
      <name val="Arial"/>
      <family val="2"/>
    </font>
    <font>
      <sz val="12"/>
      <name val="Arial"/>
      <family val="2"/>
    </font>
    <font>
      <sz val="10"/>
      <color theme="0"/>
      <name val="Arial"/>
      <family val="2"/>
    </font>
    <font>
      <b/>
      <sz val="10"/>
      <color theme="0"/>
      <name val="Arial"/>
      <family val="2"/>
    </font>
    <font>
      <b/>
      <sz val="8"/>
      <color indexed="8"/>
      <name val="Arial"/>
      <family val="2"/>
    </font>
    <font>
      <sz val="14"/>
      <color theme="1"/>
      <name val="Calibri"/>
      <family val="2"/>
      <scheme val="minor"/>
    </font>
    <font>
      <sz val="14"/>
      <color indexed="8"/>
      <name val="Arial"/>
      <family val="2"/>
    </font>
    <font>
      <sz val="14"/>
      <name val="Arial"/>
      <family val="2"/>
    </font>
    <font>
      <b/>
      <sz val="14"/>
      <color indexed="8"/>
      <name val="Arial"/>
      <family val="2"/>
    </font>
    <font>
      <sz val="14"/>
      <name val="Calibri"/>
      <family val="2"/>
    </font>
    <font>
      <sz val="10"/>
      <color theme="1"/>
      <name val="Arial"/>
      <family val="2"/>
    </font>
    <font>
      <sz val="12"/>
      <color rgb="FF000000"/>
      <name val="Calibri"/>
      <family val="2"/>
    </font>
    <font>
      <b/>
      <sz val="10"/>
      <color rgb="FF000000"/>
      <name val="Arial"/>
      <family val="2"/>
    </font>
    <font>
      <sz val="10"/>
      <color theme="0" tint="-0.249977111117893"/>
      <name val="Arial"/>
      <family val="2"/>
    </font>
    <font>
      <sz val="8"/>
      <name val="Calibri"/>
      <family val="2"/>
      <scheme val="minor"/>
    </font>
    <font>
      <sz val="12"/>
      <color theme="0" tint="-0.249977111117893"/>
      <name val="Calibri"/>
      <family val="2"/>
      <scheme val="minor"/>
    </font>
    <font>
      <sz val="12"/>
      <color theme="0" tint="-0.14999847407452621"/>
      <name val="Calibri"/>
      <family val="2"/>
      <scheme val="minor"/>
    </font>
    <font>
      <b/>
      <sz val="10"/>
      <color theme="0" tint="-0.249977111117893"/>
      <name val="Arial"/>
      <family val="2"/>
    </font>
    <font>
      <sz val="10"/>
      <color theme="0" tint="-0.14999847407452621"/>
      <name val="Arial"/>
      <family val="2"/>
    </font>
    <font>
      <b/>
      <sz val="10"/>
      <color theme="1"/>
      <name val="Arial"/>
      <family val="2"/>
    </font>
    <font>
      <sz val="14"/>
      <color theme="1"/>
      <name val="Arial"/>
      <family val="2"/>
    </font>
    <font>
      <b/>
      <sz val="9"/>
      <color indexed="8"/>
      <name val="Arial"/>
      <family val="2"/>
    </font>
    <font>
      <sz val="9"/>
      <color indexed="8"/>
      <name val="Arial"/>
      <family val="2"/>
    </font>
    <font>
      <b/>
      <i/>
      <sz val="12"/>
      <name val="Arial"/>
      <family val="2"/>
    </font>
    <font>
      <b/>
      <sz val="13"/>
      <name val="Arial"/>
      <family val="2"/>
    </font>
    <font>
      <sz val="13"/>
      <color indexed="8"/>
      <name val="Arial"/>
      <family val="2"/>
    </font>
    <font>
      <sz val="13"/>
      <name val="Arial"/>
      <family val="2"/>
    </font>
    <font>
      <b/>
      <sz val="13"/>
      <color indexed="8"/>
      <name val="Arial"/>
      <family val="2"/>
    </font>
    <font>
      <sz val="12"/>
      <color rgb="FF000000"/>
      <name val="Arial"/>
      <family val="2"/>
    </font>
    <font>
      <i/>
      <sz val="12"/>
      <color indexed="8"/>
      <name val="Arial"/>
      <family val="2"/>
    </font>
    <font>
      <i/>
      <sz val="12"/>
      <name val="Arial"/>
      <family val="2"/>
    </font>
    <font>
      <sz val="12"/>
      <color theme="0"/>
      <name val="Calibri"/>
      <family val="2"/>
      <scheme val="minor"/>
    </font>
    <font>
      <b/>
      <sz val="10"/>
      <color theme="0" tint="-0.14999847407452621"/>
      <name val="Arial"/>
      <family val="2"/>
    </font>
    <font>
      <sz val="12"/>
      <color theme="0"/>
      <name val="Arial"/>
      <family val="2"/>
    </font>
    <font>
      <b/>
      <sz val="11"/>
      <color theme="1"/>
      <name val="Calibri"/>
      <family val="2"/>
      <scheme val="minor"/>
    </font>
    <font>
      <sz val="11"/>
      <name val="Calibri"/>
      <family val="2"/>
      <scheme val="minor"/>
    </font>
    <font>
      <sz val="11"/>
      <color rgb="FF000000"/>
      <name val="Calibri"/>
      <family val="2"/>
      <scheme val="minor"/>
    </font>
    <font>
      <sz val="11"/>
      <color indexed="8"/>
      <name val="Calibri"/>
      <family val="2"/>
      <scheme val="minor"/>
    </font>
    <font>
      <b/>
      <sz val="11"/>
      <name val="Calibri"/>
      <family val="2"/>
      <scheme val="minor"/>
    </font>
    <font>
      <b/>
      <sz val="14"/>
      <name val="Calibri"/>
      <family val="2"/>
      <scheme val="minor"/>
    </font>
    <font>
      <sz val="10"/>
      <name val="Calibri"/>
      <family val="2"/>
      <scheme val="minor"/>
    </font>
    <font>
      <sz val="9"/>
      <color rgb="FF000000"/>
      <name val="Calibri"/>
      <family val="2"/>
      <scheme val="minor"/>
    </font>
    <font>
      <sz val="7"/>
      <color rgb="FF000000"/>
      <name val="Calibri"/>
      <family val="2"/>
      <scheme val="minor"/>
    </font>
    <font>
      <b/>
      <sz val="9"/>
      <color rgb="FF000000"/>
      <name val="Calibri"/>
      <family val="2"/>
      <scheme val="minor"/>
    </font>
    <font>
      <sz val="9"/>
      <name val="Calibri"/>
      <family val="2"/>
      <scheme val="minor"/>
    </font>
    <font>
      <i/>
      <sz val="9"/>
      <color rgb="FF000000"/>
      <name val="Calibri"/>
      <family val="2"/>
      <scheme val="minor"/>
    </font>
    <font>
      <b/>
      <sz val="9"/>
      <name val="Calibri"/>
      <family val="2"/>
      <scheme val="minor"/>
    </font>
    <font>
      <sz val="9"/>
      <color rgb="FF0000FF"/>
      <name val="Calibri"/>
      <family val="2"/>
      <scheme val="minor"/>
    </font>
    <font>
      <b/>
      <i/>
      <sz val="9"/>
      <color rgb="FF000000"/>
      <name val="Calibri"/>
      <family val="2"/>
      <scheme val="minor"/>
    </font>
    <font>
      <sz val="10"/>
      <color rgb="FF000000"/>
      <name val="Calibri"/>
      <family val="2"/>
      <scheme val="minor"/>
    </font>
    <font>
      <b/>
      <sz val="14"/>
      <color theme="1"/>
      <name val="Arial"/>
      <family val="2"/>
    </font>
    <font>
      <b/>
      <sz val="13"/>
      <color theme="1"/>
      <name val="Arial"/>
      <family val="2"/>
    </font>
    <font>
      <b/>
      <sz val="12"/>
      <color theme="1"/>
      <name val="Arial"/>
      <family val="2"/>
    </font>
    <font>
      <b/>
      <u/>
      <sz val="10"/>
      <color theme="1"/>
      <name val="Arial"/>
      <family val="2"/>
    </font>
    <font>
      <b/>
      <i/>
      <sz val="10"/>
      <color theme="1"/>
      <name val="Arial"/>
      <family val="2"/>
    </font>
    <font>
      <sz val="9"/>
      <color theme="1"/>
      <name val="Arial"/>
      <family val="2"/>
    </font>
    <font>
      <sz val="8"/>
      <color theme="1"/>
      <name val="Arial"/>
      <family val="2"/>
    </font>
    <font>
      <sz val="7"/>
      <color theme="1"/>
      <name val="Arial"/>
      <family val="2"/>
    </font>
    <font>
      <i/>
      <sz val="10"/>
      <color theme="1"/>
      <name val="Arial"/>
      <family val="2"/>
    </font>
    <font>
      <b/>
      <sz val="12"/>
      <color theme="1"/>
      <name val="Calibri"/>
      <family val="2"/>
      <scheme val="minor"/>
    </font>
    <font>
      <sz val="12"/>
      <color theme="1"/>
      <name val="Arial"/>
      <family val="2"/>
    </font>
  </fonts>
  <fills count="10">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92D050"/>
        <bgColor indexed="64"/>
      </patternFill>
    </fill>
    <fill>
      <patternFill patternType="solid">
        <fgColor theme="2"/>
        <bgColor indexed="64"/>
      </patternFill>
    </fill>
  </fills>
  <borders count="24">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s>
  <cellStyleXfs count="6">
    <xf numFmtId="0" fontId="0"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0" fillId="0" borderId="0" applyNumberFormat="0" applyFill="0" applyBorder="0" applyAlignment="0" applyProtection="0">
      <alignment vertical="top"/>
      <protection locked="0"/>
    </xf>
  </cellStyleXfs>
  <cellXfs count="827">
    <xf numFmtId="0" fontId="0" fillId="0" borderId="0" xfId="0"/>
    <xf numFmtId="0" fontId="1" fillId="0" borderId="0" xfId="1"/>
    <xf numFmtId="0" fontId="1" fillId="0" borderId="0" xfId="1" applyAlignment="1">
      <alignment horizontal="left" vertical="top"/>
    </xf>
    <xf numFmtId="0" fontId="4" fillId="0" borderId="0" xfId="1" applyFont="1" applyAlignment="1">
      <alignment horizontal="left" vertical="top"/>
    </xf>
    <xf numFmtId="0" fontId="5" fillId="0" borderId="0" xfId="1" applyFont="1" applyAlignment="1">
      <alignment horizontal="left" vertical="top" wrapText="1"/>
    </xf>
    <xf numFmtId="0" fontId="1" fillId="0" borderId="0" xfId="1" applyAlignment="1">
      <alignment horizontal="left" vertical="top" wrapText="1"/>
    </xf>
    <xf numFmtId="0" fontId="5" fillId="0" borderId="0" xfId="1" applyFont="1" applyAlignment="1">
      <alignment horizontal="left" vertical="top" wrapText="1" indent="2"/>
    </xf>
    <xf numFmtId="0" fontId="7" fillId="0" borderId="0" xfId="1" applyFont="1" applyAlignment="1">
      <alignment horizontal="left" vertical="top" wrapText="1"/>
    </xf>
    <xf numFmtId="0" fontId="4" fillId="0" borderId="1" xfId="1" applyFont="1" applyBorder="1" applyAlignment="1">
      <alignment horizontal="center" vertical="center" wrapText="1"/>
    </xf>
    <xf numFmtId="0" fontId="6" fillId="0" borderId="1" xfId="1" applyFont="1" applyBorder="1" applyAlignment="1">
      <alignment horizontal="center" vertical="center" wrapText="1"/>
    </xf>
    <xf numFmtId="0" fontId="1" fillId="0" borderId="4" xfId="1" applyBorder="1" applyAlignment="1">
      <alignment horizontal="center" vertical="center"/>
    </xf>
    <xf numFmtId="0" fontId="1" fillId="0" borderId="0" xfId="1" applyAlignment="1">
      <alignment horizontal="left" vertical="center" indent="1"/>
    </xf>
    <xf numFmtId="49" fontId="1" fillId="0" borderId="0" xfId="1" applyNumberFormat="1" applyAlignment="1">
      <alignment horizontal="center" vertical="center"/>
    </xf>
    <xf numFmtId="0" fontId="1" fillId="0" borderId="0" xfId="1" applyAlignment="1">
      <alignment horizontal="left" vertical="top" indent="1"/>
    </xf>
    <xf numFmtId="0" fontId="4" fillId="3" borderId="4" xfId="1" applyFont="1" applyFill="1" applyBorder="1" applyAlignment="1">
      <alignment horizontal="center" vertical="center" wrapText="1"/>
    </xf>
    <xf numFmtId="0" fontId="4" fillId="0" borderId="5" xfId="1" applyFont="1" applyBorder="1"/>
    <xf numFmtId="0" fontId="4" fillId="0" borderId="6" xfId="1" applyFont="1" applyBorder="1"/>
    <xf numFmtId="0" fontId="4" fillId="3" borderId="4" xfId="1" applyFont="1" applyFill="1" applyBorder="1"/>
    <xf numFmtId="0" fontId="4" fillId="3" borderId="7" xfId="1" applyFont="1" applyFill="1" applyBorder="1"/>
    <xf numFmtId="8" fontId="4" fillId="0" borderId="4" xfId="1" applyNumberFormat="1" applyFont="1" applyBorder="1"/>
    <xf numFmtId="8" fontId="4" fillId="3" borderId="4" xfId="1" applyNumberFormat="1" applyFont="1" applyFill="1" applyBorder="1"/>
    <xf numFmtId="8" fontId="4" fillId="3" borderId="7" xfId="1" applyNumberFormat="1" applyFont="1" applyFill="1" applyBorder="1"/>
    <xf numFmtId="0" fontId="1" fillId="3" borderId="4" xfId="1" applyFill="1" applyBorder="1"/>
    <xf numFmtId="164" fontId="4" fillId="0" borderId="4" xfId="1" applyNumberFormat="1" applyFont="1" applyBorder="1"/>
    <xf numFmtId="0" fontId="4" fillId="0" borderId="0" xfId="1" applyFont="1" applyAlignment="1">
      <alignment horizontal="left" vertical="top" wrapText="1"/>
    </xf>
    <xf numFmtId="0" fontId="14" fillId="3" borderId="4" xfId="1" applyFont="1" applyFill="1" applyBorder="1"/>
    <xf numFmtId="0" fontId="14" fillId="3" borderId="7" xfId="1" applyFont="1" applyFill="1" applyBorder="1"/>
    <xf numFmtId="0" fontId="15" fillId="3" borderId="4" xfId="1" applyFont="1" applyFill="1" applyBorder="1" applyAlignment="1">
      <alignment horizontal="center" vertical="center" wrapText="1"/>
    </xf>
    <xf numFmtId="0" fontId="15" fillId="3" borderId="4" xfId="1" applyFont="1" applyFill="1" applyBorder="1" applyAlignment="1">
      <alignment horizontal="center" wrapText="1"/>
    </xf>
    <xf numFmtId="0" fontId="15" fillId="0" borderId="4" xfId="1" applyFont="1" applyBorder="1" applyAlignment="1">
      <alignment vertical="top"/>
    </xf>
    <xf numFmtId="0" fontId="14" fillId="0" borderId="7" xfId="1" applyFont="1" applyBorder="1" applyAlignment="1">
      <alignment vertical="top" wrapText="1"/>
    </xf>
    <xf numFmtId="0" fontId="15" fillId="0" borderId="4" xfId="1" applyFont="1" applyBorder="1" applyAlignment="1">
      <alignment vertical="center"/>
    </xf>
    <xf numFmtId="0" fontId="14" fillId="0" borderId="7" xfId="1" applyFont="1" applyBorder="1" applyAlignment="1">
      <alignment vertical="center" wrapText="1"/>
    </xf>
    <xf numFmtId="0" fontId="14" fillId="0" borderId="4" xfId="1" applyFont="1" applyBorder="1" applyAlignment="1">
      <alignment vertical="top"/>
    </xf>
    <xf numFmtId="0" fontId="14" fillId="0" borderId="0" xfId="1" applyFont="1" applyAlignment="1">
      <alignment vertical="top"/>
    </xf>
    <xf numFmtId="0" fontId="1" fillId="0" borderId="0" xfId="1" applyAlignment="1">
      <alignment wrapText="1"/>
    </xf>
    <xf numFmtId="0" fontId="5" fillId="0" borderId="0" xfId="1" applyFont="1" applyAlignment="1">
      <alignment wrapText="1"/>
    </xf>
    <xf numFmtId="0" fontId="1" fillId="0" borderId="0" xfId="1" applyAlignment="1">
      <alignment horizontal="left" wrapText="1"/>
    </xf>
    <xf numFmtId="0" fontId="4" fillId="0" borderId="0" xfId="1" applyFont="1" applyAlignment="1">
      <alignment horizontal="left" vertical="center"/>
    </xf>
    <xf numFmtId="0" fontId="4" fillId="0" borderId="0" xfId="1" applyFont="1" applyAlignment="1">
      <alignment horizontal="left" vertical="center" wrapText="1"/>
    </xf>
    <xf numFmtId="0" fontId="1" fillId="0" borderId="0" xfId="1" applyAlignment="1">
      <alignment horizontal="left" vertical="center" wrapText="1"/>
    </xf>
    <xf numFmtId="0" fontId="1" fillId="0" borderId="4" xfId="1" applyBorder="1" applyAlignment="1">
      <alignment horizontal="left" vertical="center" wrapText="1"/>
    </xf>
    <xf numFmtId="0" fontId="14" fillId="0" borderId="19" xfId="1" applyFont="1" applyBorder="1" applyAlignment="1">
      <alignment vertical="center" wrapText="1"/>
    </xf>
    <xf numFmtId="0" fontId="14" fillId="0" borderId="4" xfId="1" applyFont="1" applyBorder="1" applyAlignment="1">
      <alignment vertical="center" wrapText="1"/>
    </xf>
    <xf numFmtId="0" fontId="1" fillId="0" borderId="4" xfId="1" applyBorder="1" applyAlignment="1">
      <alignment vertical="center"/>
    </xf>
    <xf numFmtId="167" fontId="1" fillId="0" borderId="20" xfId="1" applyNumberFormat="1" applyBorder="1" applyAlignment="1">
      <alignment horizontal="center" vertical="center"/>
    </xf>
    <xf numFmtId="0" fontId="19" fillId="0" borderId="0" xfId="1" applyFont="1" applyAlignment="1">
      <alignment horizontal="left" vertical="top" wrapText="1"/>
    </xf>
    <xf numFmtId="0" fontId="5" fillId="0" borderId="0" xfId="1" applyFont="1"/>
    <xf numFmtId="0" fontId="1" fillId="0" borderId="0" xfId="1" applyAlignment="1">
      <alignment horizontal="center"/>
    </xf>
    <xf numFmtId="166" fontId="1" fillId="0" borderId="0" xfId="3" applyNumberFormat="1" applyFont="1" applyBorder="1" applyAlignment="1" applyProtection="1">
      <alignment horizontal="center"/>
    </xf>
    <xf numFmtId="167" fontId="1" fillId="0" borderId="0" xfId="1" applyNumberFormat="1" applyAlignment="1">
      <alignment horizontal="right"/>
    </xf>
    <xf numFmtId="0" fontId="1" fillId="0" borderId="0" xfId="1" applyAlignment="1">
      <alignment horizontal="left" indent="1"/>
    </xf>
    <xf numFmtId="0" fontId="1" fillId="0" borderId="0" xfId="1" applyAlignment="1">
      <alignment horizontal="left" vertical="top" wrapText="1" indent="1"/>
    </xf>
    <xf numFmtId="0" fontId="19" fillId="0" borderId="0" xfId="1" applyFont="1" applyAlignment="1">
      <alignment vertical="top"/>
    </xf>
    <xf numFmtId="168" fontId="1" fillId="0" borderId="0" xfId="1" applyNumberFormat="1" applyAlignment="1">
      <alignment horizontal="right"/>
    </xf>
    <xf numFmtId="0" fontId="1" fillId="0" borderId="0" xfId="1" quotePrefix="1" applyAlignment="1">
      <alignment horizontal="center"/>
    </xf>
    <xf numFmtId="0" fontId="1" fillId="0" borderId="0" xfId="1" applyAlignment="1">
      <alignment vertical="top"/>
    </xf>
    <xf numFmtId="0" fontId="1" fillId="0" borderId="0" xfId="1" applyAlignment="1">
      <alignment vertical="top" wrapText="1"/>
    </xf>
    <xf numFmtId="168" fontId="1" fillId="0" borderId="0" xfId="1" applyNumberFormat="1"/>
    <xf numFmtId="168" fontId="1" fillId="0" borderId="0" xfId="1" applyNumberFormat="1" applyAlignment="1">
      <alignment horizontal="center" vertical="center"/>
    </xf>
    <xf numFmtId="0" fontId="1" fillId="0" borderId="0" xfId="1" applyAlignment="1">
      <alignment horizontal="center" vertical="center"/>
    </xf>
    <xf numFmtId="0" fontId="1" fillId="0" borderId="0" xfId="1" applyAlignment="1">
      <alignment horizontal="left" indent="2"/>
    </xf>
    <xf numFmtId="0" fontId="15" fillId="3" borderId="4" xfId="1" applyFont="1" applyFill="1" applyBorder="1" applyAlignment="1">
      <alignment horizontal="center"/>
    </xf>
    <xf numFmtId="0" fontId="1" fillId="0" borderId="4" xfId="1" applyBorder="1"/>
    <xf numFmtId="0" fontId="1" fillId="2" borderId="4" xfId="1" applyFill="1" applyBorder="1" applyAlignment="1">
      <alignment horizontal="center"/>
    </xf>
    <xf numFmtId="0" fontId="1" fillId="0" borderId="0" xfId="1" applyAlignment="1">
      <alignment horizontal="left"/>
    </xf>
    <xf numFmtId="0" fontId="4" fillId="0" borderId="0" xfId="1" applyFont="1" applyAlignment="1">
      <alignment vertical="top"/>
    </xf>
    <xf numFmtId="0" fontId="20" fillId="0" borderId="0" xfId="0" applyFont="1"/>
    <xf numFmtId="1" fontId="20" fillId="0" borderId="0" xfId="0" applyNumberFormat="1" applyFont="1"/>
    <xf numFmtId="0" fontId="4" fillId="0" borderId="0" xfId="1" applyFont="1"/>
    <xf numFmtId="49" fontId="4" fillId="0" borderId="4" xfId="1" applyNumberFormat="1" applyFont="1" applyBorder="1" applyAlignment="1">
      <alignment horizontal="center"/>
    </xf>
    <xf numFmtId="0" fontId="1" fillId="0" borderId="0" xfId="1" applyAlignment="1">
      <alignment horizontal="left" vertical="center"/>
    </xf>
    <xf numFmtId="0" fontId="18" fillId="0" borderId="0" xfId="1" applyFont="1" applyAlignment="1">
      <alignment wrapText="1"/>
    </xf>
    <xf numFmtId="0" fontId="1" fillId="0" borderId="0" xfId="1" applyAlignment="1">
      <alignment horizontal="right" vertical="top"/>
    </xf>
    <xf numFmtId="0" fontId="5" fillId="0" borderId="4" xfId="1" applyFont="1" applyBorder="1" applyAlignment="1">
      <alignment vertical="top"/>
    </xf>
    <xf numFmtId="0" fontId="1" fillId="0" borderId="4" xfId="1" applyBorder="1" applyAlignment="1">
      <alignment horizontal="right"/>
    </xf>
    <xf numFmtId="0" fontId="21" fillId="0" borderId="0" xfId="1" applyFont="1"/>
    <xf numFmtId="0" fontId="14" fillId="0" borderId="0" xfId="1" applyFont="1" applyAlignment="1">
      <alignment wrapText="1"/>
    </xf>
    <xf numFmtId="0" fontId="25" fillId="0" borderId="4" xfId="1" applyFont="1" applyBorder="1" applyAlignment="1">
      <alignment horizontal="center" vertical="center" wrapText="1"/>
    </xf>
    <xf numFmtId="0" fontId="14" fillId="0" borderId="4" xfId="1" applyFont="1" applyBorder="1" applyAlignment="1">
      <alignment horizontal="center" vertical="center" wrapText="1"/>
    </xf>
    <xf numFmtId="0" fontId="1" fillId="0" borderId="0" xfId="1" applyAlignment="1">
      <alignment horizontal="center" vertical="top" wrapText="1"/>
    </xf>
    <xf numFmtId="0" fontId="14" fillId="0" borderId="4" xfId="1" applyFont="1" applyBorder="1" applyAlignment="1">
      <alignment horizontal="center" vertical="top" wrapText="1"/>
    </xf>
    <xf numFmtId="0" fontId="14" fillId="0" borderId="7" xfId="1" applyFont="1" applyBorder="1" applyAlignment="1">
      <alignment horizontal="center" vertical="top" wrapText="1"/>
    </xf>
    <xf numFmtId="0" fontId="14" fillId="0" borderId="6" xfId="1" applyFont="1" applyBorder="1" applyAlignment="1">
      <alignment horizontal="center" vertical="top" wrapText="1"/>
    </xf>
    <xf numFmtId="0" fontId="14" fillId="0" borderId="5" xfId="1" applyFont="1" applyBorder="1" applyAlignment="1">
      <alignment horizontal="center" vertical="top" wrapText="1"/>
    </xf>
    <xf numFmtId="0" fontId="4" fillId="0" borderId="0" xfId="1" applyFont="1" applyAlignment="1">
      <alignment vertical="top" wrapText="1"/>
    </xf>
    <xf numFmtId="0" fontId="4" fillId="0" borderId="4" xfId="1" applyFont="1" applyBorder="1" applyAlignment="1">
      <alignment vertical="center"/>
    </xf>
    <xf numFmtId="49" fontId="1" fillId="0" borderId="4" xfId="1" applyNumberFormat="1" applyBorder="1" applyAlignment="1">
      <alignment horizontal="left" vertical="center" indent="2"/>
    </xf>
    <xf numFmtId="0" fontId="1" fillId="3" borderId="4" xfId="1" applyFill="1" applyBorder="1" applyAlignment="1">
      <alignment horizontal="center"/>
    </xf>
    <xf numFmtId="0" fontId="1" fillId="0" borderId="0" xfId="1" applyAlignment="1">
      <alignment horizontal="right"/>
    </xf>
    <xf numFmtId="0" fontId="15" fillId="0" borderId="0" xfId="1" applyFont="1" applyAlignment="1">
      <alignment horizontal="left" vertical="center" wrapText="1"/>
    </xf>
    <xf numFmtId="0" fontId="26" fillId="0" borderId="0" xfId="1" applyFont="1" applyAlignment="1">
      <alignment vertical="center" wrapText="1"/>
    </xf>
    <xf numFmtId="0" fontId="15" fillId="0" borderId="0" xfId="1" applyFont="1" applyAlignment="1">
      <alignment horizontal="left" vertical="top" wrapText="1"/>
    </xf>
    <xf numFmtId="0" fontId="3" fillId="0" borderId="0" xfId="1" applyFont="1" applyAlignment="1">
      <alignment horizontal="left" vertical="center" wrapText="1"/>
    </xf>
    <xf numFmtId="37" fontId="1" fillId="0" borderId="0" xfId="1" applyNumberFormat="1"/>
    <xf numFmtId="0" fontId="19" fillId="0" borderId="0" xfId="1" applyFont="1"/>
    <xf numFmtId="37" fontId="4" fillId="0" borderId="4" xfId="1" applyNumberFormat="1" applyFont="1" applyBorder="1" applyAlignment="1">
      <alignment horizontal="right"/>
    </xf>
    <xf numFmtId="0" fontId="14" fillId="3" borderId="4" xfId="1" applyFont="1" applyFill="1" applyBorder="1" applyAlignment="1">
      <alignment horizontal="center" vertical="center" wrapText="1"/>
    </xf>
    <xf numFmtId="0" fontId="4" fillId="0" borderId="0" xfId="1" applyFont="1" applyAlignment="1">
      <alignment horizontal="left"/>
    </xf>
    <xf numFmtId="37" fontId="4" fillId="0" borderId="0" xfId="4" applyNumberFormat="1" applyFont="1" applyBorder="1" applyAlignment="1" applyProtection="1">
      <alignment horizontal="right"/>
    </xf>
    <xf numFmtId="37" fontId="4" fillId="0" borderId="6" xfId="1" applyNumberFormat="1" applyFont="1" applyBorder="1"/>
    <xf numFmtId="37" fontId="1" fillId="0" borderId="0" xfId="1" applyNumberFormat="1" applyAlignment="1">
      <alignment horizontal="right"/>
    </xf>
    <xf numFmtId="0" fontId="1" fillId="0" borderId="6" xfId="1" applyBorder="1"/>
    <xf numFmtId="37" fontId="1" fillId="0" borderId="0" xfId="4" applyNumberFormat="1" applyBorder="1" applyAlignment="1" applyProtection="1">
      <alignment horizontal="right"/>
    </xf>
    <xf numFmtId="37" fontId="1" fillId="0" borderId="1" xfId="1" applyNumberFormat="1" applyBorder="1"/>
    <xf numFmtId="0" fontId="4" fillId="0" borderId="0" xfId="1" applyFont="1" applyAlignment="1">
      <alignment horizontal="right"/>
    </xf>
    <xf numFmtId="0" fontId="4" fillId="0" borderId="8" xfId="1" applyFont="1" applyBorder="1" applyAlignment="1">
      <alignment horizontal="right"/>
    </xf>
    <xf numFmtId="0" fontId="21" fillId="0" borderId="0" xfId="1" applyFont="1" applyAlignment="1">
      <alignment vertical="center"/>
    </xf>
    <xf numFmtId="0" fontId="22" fillId="0" borderId="4" xfId="1" applyFont="1" applyBorder="1" applyAlignment="1">
      <alignment vertical="center"/>
    </xf>
    <xf numFmtId="0" fontId="4" fillId="0" borderId="4" xfId="1" applyFont="1" applyBorder="1" applyAlignment="1">
      <alignment horizontal="right"/>
    </xf>
    <xf numFmtId="0" fontId="1" fillId="0" borderId="4" xfId="1" applyBorder="1" applyAlignment="1">
      <alignment horizontal="left" vertical="center" wrapText="1" indent="1"/>
    </xf>
    <xf numFmtId="0" fontId="1" fillId="0" borderId="4" xfId="1" applyBorder="1" applyAlignment="1">
      <alignment horizontal="left" vertical="center" indent="1"/>
    </xf>
    <xf numFmtId="0" fontId="21" fillId="3" borderId="7" xfId="1" applyFont="1" applyFill="1" applyBorder="1" applyAlignment="1">
      <alignment horizontal="right"/>
    </xf>
    <xf numFmtId="0" fontId="21" fillId="3" borderId="6" xfId="1" applyFont="1" applyFill="1" applyBorder="1" applyAlignment="1">
      <alignment horizontal="right"/>
    </xf>
    <xf numFmtId="0" fontId="4" fillId="3" borderId="5" xfId="1" applyFont="1" applyFill="1" applyBorder="1" applyAlignment="1">
      <alignment vertical="center"/>
    </xf>
    <xf numFmtId="37" fontId="4" fillId="0" borderId="4" xfId="4" applyNumberFormat="1" applyFont="1" applyBorder="1" applyAlignment="1" applyProtection="1">
      <alignment horizontal="right"/>
    </xf>
    <xf numFmtId="0" fontId="4" fillId="3" borderId="7" xfId="1" applyFont="1" applyFill="1" applyBorder="1" applyAlignment="1">
      <alignment horizontal="center" vertical="center"/>
    </xf>
    <xf numFmtId="0" fontId="4" fillId="3" borderId="6" xfId="1" applyFont="1" applyFill="1" applyBorder="1" applyAlignment="1">
      <alignment horizontal="center" vertical="center"/>
    </xf>
    <xf numFmtId="0" fontId="4" fillId="0" borderId="10" xfId="1" applyFont="1" applyBorder="1" applyAlignment="1">
      <alignment horizontal="center" vertical="center"/>
    </xf>
    <xf numFmtId="0" fontId="4" fillId="0" borderId="9" xfId="1" applyFont="1" applyBorder="1" applyAlignment="1">
      <alignment horizontal="center" vertical="center"/>
    </xf>
    <xf numFmtId="0" fontId="0" fillId="0" borderId="0" xfId="0" applyAlignment="1">
      <alignment vertical="center"/>
    </xf>
    <xf numFmtId="169" fontId="1" fillId="0" borderId="4" xfId="1" applyNumberFormat="1" applyBorder="1" applyAlignment="1">
      <alignment horizontal="center" vertical="center" wrapText="1"/>
    </xf>
    <xf numFmtId="0" fontId="5" fillId="0" borderId="4" xfId="1" applyFont="1" applyBorder="1" applyAlignment="1">
      <alignment horizontal="left" vertical="top" wrapText="1"/>
    </xf>
    <xf numFmtId="0" fontId="5" fillId="0" borderId="4" xfId="1" applyFont="1" applyBorder="1" applyAlignment="1">
      <alignment horizontal="left" vertical="top" wrapText="1" indent="2"/>
    </xf>
    <xf numFmtId="167" fontId="1" fillId="2" borderId="4" xfId="1" applyNumberFormat="1" applyFill="1" applyBorder="1" applyAlignment="1">
      <alignment horizontal="right"/>
    </xf>
    <xf numFmtId="0" fontId="1" fillId="0" borderId="4" xfId="1" applyBorder="1" applyAlignment="1">
      <alignment wrapText="1"/>
    </xf>
    <xf numFmtId="49" fontId="1" fillId="0" borderId="4" xfId="1" applyNumberFormat="1" applyBorder="1" applyAlignment="1">
      <alignment horizontal="center" vertical="center"/>
    </xf>
    <xf numFmtId="0" fontId="1" fillId="0" borderId="1" xfId="1" applyBorder="1" applyAlignment="1">
      <alignment horizontal="center" vertical="center"/>
    </xf>
    <xf numFmtId="0" fontId="1" fillId="0" borderId="0" xfId="1" applyAlignment="1">
      <alignment horizontal="left" vertical="top" wrapText="1" indent="3"/>
    </xf>
    <xf numFmtId="0" fontId="1" fillId="0" borderId="4" xfId="1" applyBorder="1" applyAlignment="1">
      <alignment horizontal="left" vertical="top" wrapText="1" indent="1"/>
    </xf>
    <xf numFmtId="167" fontId="1" fillId="3" borderId="7" xfId="3" applyNumberFormat="1" applyFont="1" applyFill="1" applyBorder="1" applyAlignment="1" applyProtection="1">
      <alignment horizontal="right"/>
    </xf>
    <xf numFmtId="167" fontId="1" fillId="3" borderId="6" xfId="3" applyNumberFormat="1" applyFont="1" applyFill="1" applyBorder="1" applyAlignment="1" applyProtection="1">
      <alignment horizontal="right"/>
    </xf>
    <xf numFmtId="0" fontId="4" fillId="3" borderId="5" xfId="1" applyFont="1" applyFill="1" applyBorder="1" applyAlignment="1">
      <alignment horizontal="left" vertical="top" wrapText="1"/>
    </xf>
    <xf numFmtId="0" fontId="5" fillId="0" borderId="4" xfId="1" applyFont="1" applyBorder="1" applyAlignment="1">
      <alignment horizontal="left" vertical="top" wrapText="1" indent="1"/>
    </xf>
    <xf numFmtId="167" fontId="1" fillId="3" borderId="4" xfId="3" applyNumberFormat="1" applyFont="1" applyFill="1" applyBorder="1" applyAlignment="1" applyProtection="1">
      <alignment horizontal="right"/>
    </xf>
    <xf numFmtId="0" fontId="6" fillId="3" borderId="4" xfId="1" applyFont="1" applyFill="1" applyBorder="1" applyAlignment="1">
      <alignment horizontal="left" vertical="top" wrapText="1"/>
    </xf>
    <xf numFmtId="0" fontId="4" fillId="0" borderId="4" xfId="1" applyFont="1" applyBorder="1" applyAlignment="1">
      <alignment horizontal="center"/>
    </xf>
    <xf numFmtId="0" fontId="2" fillId="0" borderId="0" xfId="1" applyFont="1" applyAlignment="1">
      <alignment horizontal="center" vertical="center"/>
    </xf>
    <xf numFmtId="0" fontId="19" fillId="0" borderId="0" xfId="1" applyFont="1" applyAlignment="1">
      <alignment horizontal="left" vertical="top"/>
    </xf>
    <xf numFmtId="14" fontId="1" fillId="0" borderId="4" xfId="1" applyNumberFormat="1" applyBorder="1" applyAlignment="1">
      <alignment horizontal="center" vertical="center"/>
    </xf>
    <xf numFmtId="0" fontId="35" fillId="3" borderId="4" xfId="1" applyFont="1" applyFill="1" applyBorder="1" applyAlignment="1">
      <alignment horizontal="center" vertical="center" wrapText="1"/>
    </xf>
    <xf numFmtId="0" fontId="1" fillId="0" borderId="0" xfId="1" applyAlignment="1">
      <alignment horizontal="center" vertical="center" wrapText="1"/>
    </xf>
    <xf numFmtId="0" fontId="1" fillId="0" borderId="0" xfId="1" applyAlignment="1">
      <alignment vertical="center" wrapText="1"/>
    </xf>
    <xf numFmtId="49" fontId="37" fillId="0" borderId="0" xfId="1" applyNumberFormat="1" applyFont="1" applyAlignment="1">
      <alignment horizontal="center" vertical="center"/>
    </xf>
    <xf numFmtId="37" fontId="1" fillId="0" borderId="0" xfId="4" applyNumberFormat="1" applyFont="1" applyBorder="1" applyAlignment="1" applyProtection="1">
      <alignment vertical="center"/>
    </xf>
    <xf numFmtId="37" fontId="4" fillId="0" borderId="4" xfId="4" applyNumberFormat="1" applyFont="1" applyBorder="1" applyAlignment="1" applyProtection="1">
      <alignment horizontal="center" vertical="center"/>
    </xf>
    <xf numFmtId="0" fontId="4" fillId="0" borderId="0" xfId="1" applyFont="1" applyAlignment="1">
      <alignment horizontal="center" vertical="center"/>
    </xf>
    <xf numFmtId="0" fontId="4" fillId="3" borderId="4" xfId="1" applyFont="1" applyFill="1" applyBorder="1" applyAlignment="1">
      <alignment vertical="center"/>
    </xf>
    <xf numFmtId="0" fontId="38" fillId="0" borderId="0" xfId="1" applyFont="1"/>
    <xf numFmtId="0" fontId="38" fillId="0" borderId="0" xfId="1" applyFont="1" applyAlignment="1">
      <alignment horizontal="left" vertical="top"/>
    </xf>
    <xf numFmtId="49" fontId="38" fillId="0" borderId="0" xfId="1" applyNumberFormat="1" applyFont="1" applyAlignment="1">
      <alignment horizontal="center" vertical="center"/>
    </xf>
    <xf numFmtId="0" fontId="1" fillId="0" borderId="0" xfId="1" applyAlignment="1">
      <alignment horizontal="left" wrapText="1" indent="1"/>
    </xf>
    <xf numFmtId="0" fontId="7" fillId="0" borderId="0" xfId="1" applyFont="1"/>
    <xf numFmtId="0" fontId="5" fillId="0" borderId="0" xfId="5" applyFont="1" applyBorder="1" applyAlignment="1" applyProtection="1">
      <alignment vertical="top" wrapText="1"/>
    </xf>
    <xf numFmtId="0" fontId="5" fillId="0" borderId="0" xfId="1" applyFont="1" applyAlignment="1">
      <alignment vertical="top" wrapText="1"/>
    </xf>
    <xf numFmtId="0" fontId="1" fillId="0" borderId="1" xfId="1" applyBorder="1" applyAlignment="1">
      <alignment vertical="top" wrapText="1"/>
    </xf>
    <xf numFmtId="0" fontId="30" fillId="0" borderId="0" xfId="5" applyBorder="1" applyAlignment="1" applyProtection="1">
      <alignment horizontal="left" vertical="top" wrapText="1"/>
    </xf>
    <xf numFmtId="49" fontId="1" fillId="0" borderId="0" xfId="1" applyNumberFormat="1" applyAlignment="1">
      <alignment horizontal="left" vertical="center" indent="1"/>
    </xf>
    <xf numFmtId="0" fontId="5" fillId="0" borderId="4" xfId="1" applyFont="1" applyBorder="1"/>
    <xf numFmtId="0" fontId="40" fillId="3" borderId="4" xfId="1" applyFont="1" applyFill="1" applyBorder="1" applyAlignment="1">
      <alignment horizontal="center" vertical="center" wrapText="1"/>
    </xf>
    <xf numFmtId="0" fontId="5" fillId="0" borderId="0" xfId="1" applyFont="1" applyAlignment="1">
      <alignment horizontal="left" vertical="top"/>
    </xf>
    <xf numFmtId="9" fontId="6" fillId="3" borderId="4" xfId="1" applyNumberFormat="1" applyFont="1" applyFill="1" applyBorder="1" applyAlignment="1">
      <alignment horizontal="center" vertical="center" wrapText="1"/>
    </xf>
    <xf numFmtId="0" fontId="0" fillId="0" borderId="0" xfId="0" applyProtection="1">
      <protection locked="0"/>
    </xf>
    <xf numFmtId="0" fontId="43" fillId="0" borderId="4" xfId="0" applyFont="1" applyBorder="1" applyAlignment="1" applyProtection="1">
      <alignment horizontal="center" vertical="center" wrapText="1"/>
      <protection locked="0"/>
    </xf>
    <xf numFmtId="0" fontId="43" fillId="0" borderId="4" xfId="0" applyFont="1" applyBorder="1" applyAlignment="1" applyProtection="1">
      <alignment horizontal="center" vertical="center"/>
      <protection locked="0"/>
    </xf>
    <xf numFmtId="0" fontId="2" fillId="2" borderId="0" xfId="1" applyFont="1" applyFill="1" applyAlignment="1">
      <alignment horizontal="center" vertical="center"/>
    </xf>
    <xf numFmtId="0" fontId="4" fillId="0" borderId="0" xfId="1" applyFont="1" applyAlignment="1">
      <alignment horizontal="center" vertical="center" wrapText="1"/>
    </xf>
    <xf numFmtId="0" fontId="4" fillId="0" borderId="0" xfId="1" applyFont="1" applyAlignment="1">
      <alignment horizontal="left" vertical="top" wrapText="1" indent="1"/>
    </xf>
    <xf numFmtId="0" fontId="1" fillId="0" borderId="0" xfId="1" applyAlignment="1" applyProtection="1">
      <alignment horizontal="center" vertical="center" wrapText="1"/>
      <protection locked="0"/>
    </xf>
    <xf numFmtId="0" fontId="38" fillId="0" borderId="0" xfId="1" applyFont="1" applyAlignment="1">
      <alignment horizontal="center"/>
    </xf>
    <xf numFmtId="0" fontId="46" fillId="0" borderId="0" xfId="1" applyFont="1" applyProtection="1">
      <protection hidden="1"/>
    </xf>
    <xf numFmtId="49" fontId="38" fillId="0" borderId="0" xfId="1" applyNumberFormat="1" applyFont="1" applyAlignment="1">
      <alignment horizontal="center"/>
    </xf>
    <xf numFmtId="0" fontId="1" fillId="0" borderId="4" xfId="1" applyBorder="1" applyAlignment="1" applyProtection="1">
      <alignment horizontal="center" vertical="center"/>
      <protection locked="0"/>
    </xf>
    <xf numFmtId="0" fontId="4" fillId="0" borderId="1" xfId="1" applyFont="1" applyBorder="1" applyAlignment="1">
      <alignment horizontal="center" vertical="center"/>
    </xf>
    <xf numFmtId="0" fontId="5" fillId="0" borderId="0" xfId="1" applyFont="1" applyAlignment="1">
      <alignment horizontal="left"/>
    </xf>
    <xf numFmtId="0" fontId="48" fillId="0" borderId="0" xfId="1" applyFont="1" applyAlignment="1">
      <alignment horizontal="left" vertical="center" indent="1"/>
    </xf>
    <xf numFmtId="0" fontId="1" fillId="0" borderId="0" xfId="1" applyAlignment="1">
      <alignment vertical="center"/>
    </xf>
    <xf numFmtId="167" fontId="1" fillId="0" borderId="0" xfId="1" applyNumberFormat="1" applyAlignment="1">
      <alignment horizontal="center" vertical="center"/>
    </xf>
    <xf numFmtId="0" fontId="5" fillId="0" borderId="4" xfId="1" applyFont="1" applyBorder="1" applyAlignment="1">
      <alignment vertical="top" wrapText="1"/>
    </xf>
    <xf numFmtId="0" fontId="5" fillId="0" borderId="4" xfId="1" quotePrefix="1" applyFont="1" applyBorder="1" applyAlignment="1">
      <alignment horizontal="center" vertical="top" wrapText="1"/>
    </xf>
    <xf numFmtId="0" fontId="5" fillId="5" borderId="4" xfId="1" applyFont="1" applyFill="1" applyBorder="1" applyAlignment="1">
      <alignment vertical="top" wrapText="1"/>
    </xf>
    <xf numFmtId="0" fontId="5" fillId="0" borderId="4" xfId="1" applyFont="1" applyBorder="1" applyAlignment="1">
      <alignment horizontal="center" vertical="top" wrapText="1"/>
    </xf>
    <xf numFmtId="0" fontId="1" fillId="0" borderId="4" xfId="1" applyBorder="1" applyAlignment="1">
      <alignment vertical="top" wrapText="1"/>
    </xf>
    <xf numFmtId="0" fontId="49" fillId="0" borderId="0" xfId="1" applyFont="1"/>
    <xf numFmtId="0" fontId="14" fillId="0" borderId="0" xfId="1" applyFont="1" applyAlignment="1">
      <alignment horizontal="left" wrapText="1"/>
    </xf>
    <xf numFmtId="0" fontId="52" fillId="0" borderId="0" xfId="0" applyFont="1" applyProtection="1">
      <protection locked="0"/>
    </xf>
    <xf numFmtId="0" fontId="41" fillId="0" borderId="4" xfId="0" applyFont="1" applyBorder="1" applyAlignment="1" applyProtection="1">
      <alignment horizontal="center" vertical="center"/>
      <protection locked="0"/>
    </xf>
    <xf numFmtId="0" fontId="4" fillId="0" borderId="0" xfId="1" applyFont="1" applyAlignment="1">
      <alignment horizontal="center" vertical="top" wrapText="1"/>
    </xf>
    <xf numFmtId="0" fontId="53" fillId="0" borderId="0" xfId="1" applyFont="1"/>
    <xf numFmtId="0" fontId="1" fillId="0" borderId="1" xfId="1" applyBorder="1" applyAlignment="1">
      <alignment horizontal="center" vertical="center" wrapText="1"/>
    </xf>
    <xf numFmtId="49" fontId="54" fillId="0" borderId="0" xfId="1" applyNumberFormat="1" applyFont="1" applyAlignment="1">
      <alignment horizontal="center" vertical="center"/>
    </xf>
    <xf numFmtId="0" fontId="28" fillId="0" borderId="0" xfId="1" applyFont="1" applyAlignment="1">
      <alignment horizontal="center" vertical="center" wrapText="1"/>
    </xf>
    <xf numFmtId="0" fontId="1" fillId="0" borderId="0" xfId="5" applyFont="1" applyAlignment="1" applyProtection="1">
      <alignment vertical="top" wrapText="1"/>
    </xf>
    <xf numFmtId="49" fontId="1" fillId="0" borderId="5" xfId="1" applyNumberFormat="1" applyBorder="1" applyAlignment="1">
      <alignment horizontal="center" vertical="center"/>
    </xf>
    <xf numFmtId="0" fontId="4" fillId="3" borderId="22" xfId="1" applyFont="1" applyFill="1" applyBorder="1"/>
    <xf numFmtId="0" fontId="35" fillId="3" borderId="22" xfId="1" applyFont="1" applyFill="1" applyBorder="1" applyAlignment="1">
      <alignment horizontal="center" vertical="center" wrapText="1"/>
    </xf>
    <xf numFmtId="0" fontId="36" fillId="3" borderId="22" xfId="1" applyFont="1" applyFill="1" applyBorder="1" applyAlignment="1">
      <alignment horizontal="center" vertical="center" wrapText="1"/>
    </xf>
    <xf numFmtId="0" fontId="1" fillId="0" borderId="22" xfId="1" applyBorder="1" applyAlignment="1">
      <alignment horizontal="left" vertical="center" wrapText="1"/>
    </xf>
    <xf numFmtId="0" fontId="1" fillId="0" borderId="22" xfId="1" applyBorder="1" applyAlignment="1">
      <alignment horizontal="center" vertical="center"/>
    </xf>
    <xf numFmtId="0" fontId="4" fillId="0" borderId="22" xfId="1" applyFont="1" applyBorder="1" applyAlignment="1">
      <alignment horizontal="center" vertical="center"/>
    </xf>
    <xf numFmtId="0" fontId="54" fillId="0" borderId="0" xfId="1" applyFont="1"/>
    <xf numFmtId="0" fontId="1" fillId="0" borderId="0" xfId="1" applyAlignment="1">
      <alignment horizontal="left" vertical="top" wrapText="1" indent="4"/>
    </xf>
    <xf numFmtId="0" fontId="55" fillId="0" borderId="0" xfId="1" applyFont="1" applyAlignment="1">
      <alignment horizontal="left" vertical="top"/>
    </xf>
    <xf numFmtId="0" fontId="55" fillId="0" borderId="0" xfId="1" applyFont="1"/>
    <xf numFmtId="0" fontId="4" fillId="0" borderId="8" xfId="1" applyFont="1" applyBorder="1" applyAlignment="1">
      <alignment horizontal="center" vertical="center"/>
    </xf>
    <xf numFmtId="37" fontId="4" fillId="0" borderId="0" xfId="1" applyNumberFormat="1" applyFont="1" applyAlignment="1">
      <alignment horizontal="right"/>
    </xf>
    <xf numFmtId="0" fontId="22" fillId="0" borderId="0" xfId="1" applyFont="1" applyAlignment="1">
      <alignment horizontal="center" vertical="center" wrapText="1"/>
    </xf>
    <xf numFmtId="0" fontId="15" fillId="0" borderId="0" xfId="1" applyFont="1" applyAlignment="1">
      <alignment horizontal="center" vertical="center" wrapText="1"/>
    </xf>
    <xf numFmtId="0" fontId="4" fillId="3" borderId="0" xfId="1" applyFont="1" applyFill="1" applyAlignment="1">
      <alignment horizontal="center"/>
    </xf>
    <xf numFmtId="0" fontId="4" fillId="0" borderId="7" xfId="1" applyFont="1" applyBorder="1" applyAlignment="1">
      <alignment horizontal="center" vertical="center"/>
    </xf>
    <xf numFmtId="0" fontId="14" fillId="0" borderId="0" xfId="1" applyFont="1" applyAlignment="1">
      <alignment horizontal="center" vertical="center" wrapText="1"/>
    </xf>
    <xf numFmtId="9" fontId="37" fillId="0" borderId="0" xfId="2" applyFont="1" applyBorder="1" applyAlignment="1" applyProtection="1">
      <alignment horizontal="center"/>
    </xf>
    <xf numFmtId="9" fontId="37" fillId="0" borderId="0" xfId="2" applyFont="1" applyBorder="1" applyAlignment="1" applyProtection="1">
      <alignment horizontal="left"/>
    </xf>
    <xf numFmtId="9" fontId="37" fillId="0" borderId="20" xfId="2" applyFont="1" applyBorder="1" applyAlignment="1" applyProtection="1">
      <alignment horizontal="right"/>
    </xf>
    <xf numFmtId="49" fontId="1" fillId="7" borderId="5" xfId="1" applyNumberFormat="1" applyFill="1" applyBorder="1" applyAlignment="1">
      <alignment horizontal="center" vertical="center"/>
    </xf>
    <xf numFmtId="0" fontId="35" fillId="0" borderId="0" xfId="1" applyFont="1" applyAlignment="1">
      <alignment horizontal="center" vertical="center" wrapText="1"/>
    </xf>
    <xf numFmtId="1" fontId="0" fillId="0" borderId="6" xfId="0" applyNumberFormat="1" applyBorder="1" applyProtection="1">
      <protection locked="0"/>
    </xf>
    <xf numFmtId="0" fontId="1" fillId="0" borderId="4" xfId="1" applyBorder="1" applyAlignment="1" applyProtection="1">
      <alignment horizontal="left" vertical="top" wrapText="1"/>
      <protection locked="0"/>
    </xf>
    <xf numFmtId="0" fontId="30" fillId="0" borderId="4" xfId="5" applyBorder="1" applyAlignment="1" applyProtection="1">
      <alignment horizontal="left" vertical="top" wrapText="1"/>
      <protection locked="0"/>
    </xf>
    <xf numFmtId="0" fontId="1" fillId="0" borderId="4" xfId="1" applyBorder="1" applyAlignment="1" applyProtection="1">
      <alignment horizontal="center" vertical="center" wrapText="1"/>
      <protection locked="0"/>
    </xf>
    <xf numFmtId="0" fontId="5" fillId="0" borderId="4" xfId="1" applyFont="1" applyBorder="1" applyAlignment="1" applyProtection="1">
      <alignment horizontal="left" vertical="top" wrapText="1"/>
      <protection locked="0"/>
    </xf>
    <xf numFmtId="0" fontId="1" fillId="0" borderId="0" xfId="1" applyProtection="1">
      <protection locked="0"/>
    </xf>
    <xf numFmtId="49" fontId="1" fillId="0" borderId="0" xfId="1" quotePrefix="1" applyNumberFormat="1" applyAlignment="1" applyProtection="1">
      <alignment vertical="center"/>
      <protection locked="0"/>
    </xf>
    <xf numFmtId="0" fontId="1" fillId="0" borderId="1" xfId="1" applyBorder="1" applyAlignment="1" applyProtection="1">
      <alignment horizontal="center"/>
      <protection locked="0"/>
    </xf>
    <xf numFmtId="0" fontId="4" fillId="0" borderId="0" xfId="1" applyFont="1" applyAlignment="1" applyProtection="1">
      <alignment horizontal="left" vertical="top"/>
      <protection locked="0"/>
    </xf>
    <xf numFmtId="0" fontId="4" fillId="0" borderId="0" xfId="1" applyFont="1" applyProtection="1">
      <protection locked="0"/>
    </xf>
    <xf numFmtId="49" fontId="38" fillId="0" borderId="0" xfId="1" applyNumberFormat="1" applyFont="1" applyAlignment="1" applyProtection="1">
      <alignment horizontal="center" vertical="center"/>
      <protection locked="0"/>
    </xf>
    <xf numFmtId="14" fontId="54" fillId="0" borderId="0" xfId="1" quotePrefix="1" applyNumberFormat="1" applyFont="1"/>
    <xf numFmtId="49" fontId="54" fillId="0" borderId="0" xfId="1" quotePrefix="1" applyNumberFormat="1" applyFont="1" applyAlignment="1">
      <alignment horizontal="center" vertical="center"/>
    </xf>
    <xf numFmtId="49" fontId="54" fillId="0" borderId="0" xfId="1" quotePrefix="1" applyNumberFormat="1" applyFont="1" applyAlignment="1">
      <alignment vertical="center"/>
    </xf>
    <xf numFmtId="49" fontId="54" fillId="0" borderId="0" xfId="1" applyNumberFormat="1" applyFont="1" applyAlignment="1" applyProtection="1">
      <alignment horizontal="center" vertical="center"/>
      <protection locked="0"/>
    </xf>
    <xf numFmtId="49" fontId="54" fillId="0" borderId="0" xfId="1" quotePrefix="1" applyNumberFormat="1" applyFont="1" applyAlignment="1" applyProtection="1">
      <alignment horizontal="center" vertical="center"/>
      <protection locked="0"/>
    </xf>
    <xf numFmtId="0" fontId="1" fillId="0" borderId="0" xfId="1" applyAlignment="1" applyProtection="1">
      <alignment horizontal="left" vertical="top"/>
      <protection locked="0"/>
    </xf>
    <xf numFmtId="0" fontId="4" fillId="0" borderId="0" xfId="1" applyFont="1" applyAlignment="1">
      <alignment vertical="center"/>
    </xf>
    <xf numFmtId="10" fontId="4" fillId="0" borderId="0" xfId="2" applyNumberFormat="1" applyFont="1" applyFill="1" applyBorder="1" applyAlignment="1" applyProtection="1">
      <alignment horizontal="center" vertical="center"/>
    </xf>
    <xf numFmtId="0" fontId="4" fillId="0" borderId="0" xfId="1" applyFont="1" applyAlignment="1" applyProtection="1">
      <alignment vertical="center"/>
      <protection locked="0"/>
    </xf>
    <xf numFmtId="10" fontId="4" fillId="0" borderId="0" xfId="2" applyNumberFormat="1" applyFont="1" applyFill="1" applyBorder="1" applyAlignment="1" applyProtection="1">
      <alignment horizontal="center" vertical="center"/>
      <protection locked="0"/>
    </xf>
    <xf numFmtId="0" fontId="1" fillId="0" borderId="0" xfId="1" applyAlignment="1" applyProtection="1">
      <alignment vertical="center"/>
      <protection locked="0"/>
    </xf>
    <xf numFmtId="1" fontId="1" fillId="0" borderId="4" xfId="1" applyNumberFormat="1" applyBorder="1" applyAlignment="1" applyProtection="1">
      <alignment horizontal="center" vertical="center"/>
      <protection locked="0"/>
    </xf>
    <xf numFmtId="49" fontId="1" fillId="0" borderId="4" xfId="1" applyNumberFormat="1" applyBorder="1" applyAlignment="1" applyProtection="1">
      <alignment horizontal="center" vertical="center" wrapText="1"/>
      <protection locked="0"/>
    </xf>
    <xf numFmtId="8" fontId="1" fillId="0" borderId="0" xfId="1" applyNumberFormat="1" applyProtection="1">
      <protection locked="0"/>
    </xf>
    <xf numFmtId="8" fontId="1" fillId="0" borderId="4" xfId="1" applyNumberFormat="1" applyBorder="1" applyAlignment="1" applyProtection="1">
      <alignment horizontal="right"/>
      <protection locked="0"/>
    </xf>
    <xf numFmtId="164" fontId="1" fillId="0" borderId="4" xfId="1" applyNumberFormat="1" applyBorder="1" applyAlignment="1" applyProtection="1">
      <alignment horizontal="right"/>
      <protection locked="0"/>
    </xf>
    <xf numFmtId="164" fontId="1" fillId="0" borderId="7" xfId="1" applyNumberFormat="1" applyBorder="1" applyAlignment="1" applyProtection="1">
      <alignment horizontal="right"/>
      <protection locked="0"/>
    </xf>
    <xf numFmtId="0" fontId="14" fillId="0" borderId="4" xfId="1" applyFont="1" applyBorder="1" applyAlignment="1" applyProtection="1">
      <alignment horizontal="center" vertical="center"/>
      <protection locked="0"/>
    </xf>
    <xf numFmtId="165" fontId="14" fillId="0" borderId="4" xfId="3" applyNumberFormat="1" applyFont="1" applyBorder="1" applyAlignment="1" applyProtection="1">
      <alignment horizontal="center" vertical="center"/>
      <protection locked="0"/>
    </xf>
    <xf numFmtId="166" fontId="14" fillId="0" borderId="4" xfId="3" applyNumberFormat="1" applyFont="1" applyBorder="1" applyAlignment="1" applyProtection="1">
      <alignment horizontal="center" vertical="center"/>
      <protection locked="0"/>
    </xf>
    <xf numFmtId="1" fontId="4" fillId="0" borderId="4" xfId="1" applyNumberFormat="1" applyFont="1" applyBorder="1" applyAlignment="1" applyProtection="1">
      <alignment horizontal="center" vertical="center" wrapText="1"/>
      <protection locked="0"/>
    </xf>
    <xf numFmtId="1" fontId="1" fillId="0" borderId="19" xfId="1" applyNumberFormat="1" applyBorder="1" applyAlignment="1" applyProtection="1">
      <alignment horizontal="center" vertical="center" wrapText="1"/>
      <protection locked="0"/>
    </xf>
    <xf numFmtId="167" fontId="1" fillId="0" borderId="19" xfId="1" applyNumberFormat="1" applyBorder="1" applyAlignment="1" applyProtection="1">
      <alignment horizontal="center" vertical="center" wrapText="1"/>
      <protection locked="0"/>
    </xf>
    <xf numFmtId="1" fontId="1" fillId="0" borderId="4" xfId="1" applyNumberFormat="1" applyBorder="1" applyAlignment="1" applyProtection="1">
      <alignment horizontal="center"/>
      <protection locked="0"/>
    </xf>
    <xf numFmtId="167" fontId="1" fillId="0" borderId="4" xfId="1" applyNumberFormat="1" applyBorder="1" applyAlignment="1" applyProtection="1">
      <alignment horizontal="center"/>
      <protection locked="0"/>
    </xf>
    <xf numFmtId="0" fontId="38" fillId="0" borderId="0" xfId="1" applyFont="1" applyAlignment="1" applyProtection="1">
      <alignment horizontal="center"/>
      <protection locked="0"/>
    </xf>
    <xf numFmtId="0" fontId="38" fillId="0" borderId="0" xfId="1" applyFont="1" applyAlignment="1" applyProtection="1">
      <alignment vertical="top" wrapText="1"/>
      <protection locked="0"/>
    </xf>
    <xf numFmtId="168" fontId="1" fillId="0" borderId="4" xfId="1" applyNumberFormat="1" applyBorder="1" applyAlignment="1" applyProtection="1">
      <alignment horizontal="center" vertical="center"/>
      <protection locked="0"/>
    </xf>
    <xf numFmtId="0" fontId="38" fillId="0" borderId="0" xfId="1" applyFont="1" applyProtection="1">
      <protection locked="0"/>
    </xf>
    <xf numFmtId="0" fontId="46" fillId="0" borderId="4" xfId="1" applyFont="1" applyBorder="1" applyAlignment="1" applyProtection="1">
      <alignment horizontal="center" vertical="center"/>
      <protection locked="0"/>
    </xf>
    <xf numFmtId="0" fontId="49" fillId="0" borderId="0" xfId="1" applyFont="1" applyProtection="1">
      <protection locked="0"/>
    </xf>
    <xf numFmtId="167" fontId="1" fillId="0" borderId="4" xfId="3" applyNumberFormat="1" applyFont="1" applyBorder="1" applyAlignment="1" applyProtection="1">
      <alignment horizontal="center" vertical="center"/>
      <protection locked="0"/>
    </xf>
    <xf numFmtId="169" fontId="1" fillId="0" borderId="1" xfId="1" applyNumberFormat="1" applyBorder="1" applyAlignment="1" applyProtection="1">
      <alignment horizontal="center"/>
      <protection locked="0"/>
    </xf>
    <xf numFmtId="49" fontId="1" fillId="0" borderId="4" xfId="1" applyNumberFormat="1" applyBorder="1" applyAlignment="1" applyProtection="1">
      <alignment horizontal="center" vertical="center"/>
      <protection locked="0"/>
    </xf>
    <xf numFmtId="10" fontId="1" fillId="0" borderId="6" xfId="1" applyNumberFormat="1" applyBorder="1" applyAlignment="1" applyProtection="1">
      <alignment horizontal="center"/>
      <protection locked="0"/>
    </xf>
    <xf numFmtId="167" fontId="1" fillId="0" borderId="4" xfId="1" applyNumberFormat="1" applyBorder="1" applyAlignment="1" applyProtection="1">
      <alignment horizontal="center" vertical="center"/>
      <protection locked="0"/>
    </xf>
    <xf numFmtId="169" fontId="1" fillId="0" borderId="4" xfId="1" applyNumberFormat="1" applyBorder="1" applyAlignment="1" applyProtection="1">
      <alignment horizontal="center" vertical="center" wrapText="1"/>
      <protection locked="0"/>
    </xf>
    <xf numFmtId="0" fontId="38" fillId="0" borderId="0" xfId="1" applyFont="1" applyAlignment="1" applyProtection="1">
      <alignment horizontal="center" vertical="top" wrapText="1"/>
      <protection locked="0"/>
    </xf>
    <xf numFmtId="0" fontId="38" fillId="0" borderId="0" xfId="1" applyFont="1" applyAlignment="1" applyProtection="1">
      <alignment wrapText="1"/>
      <protection locked="0"/>
    </xf>
    <xf numFmtId="0" fontId="54" fillId="0" borderId="0" xfId="1" applyFont="1" applyAlignment="1" applyProtection="1">
      <alignment horizontal="center" vertical="center" wrapText="1"/>
      <protection locked="0"/>
    </xf>
    <xf numFmtId="0" fontId="54" fillId="0" borderId="0" xfId="1" applyFont="1" applyAlignment="1" applyProtection="1">
      <alignment horizontal="left" vertical="top" wrapText="1"/>
      <protection locked="0"/>
    </xf>
    <xf numFmtId="0" fontId="38" fillId="0" borderId="0" xfId="1" applyFont="1" applyAlignment="1" applyProtection="1">
      <alignment horizontal="center"/>
      <protection locked="0" hidden="1"/>
    </xf>
    <xf numFmtId="0" fontId="38" fillId="0" borderId="0" xfId="1" applyFont="1" applyAlignment="1" applyProtection="1">
      <alignment vertical="top" wrapText="1"/>
      <protection locked="0" hidden="1"/>
    </xf>
    <xf numFmtId="0" fontId="1" fillId="0" borderId="0" xfId="1" applyAlignment="1" applyProtection="1">
      <alignment horizontal="left" vertical="top" wrapText="1"/>
      <protection locked="0"/>
    </xf>
    <xf numFmtId="49" fontId="1" fillId="0" borderId="0" xfId="1" applyNumberFormat="1" applyAlignment="1" applyProtection="1">
      <alignment horizontal="center" vertical="center"/>
      <protection locked="0"/>
    </xf>
    <xf numFmtId="49" fontId="38" fillId="0" borderId="0" xfId="1" applyNumberFormat="1" applyFont="1" applyAlignment="1" applyProtection="1">
      <alignment horizontal="center"/>
      <protection locked="0"/>
    </xf>
    <xf numFmtId="0" fontId="19" fillId="0" borderId="0" xfId="1" applyFont="1" applyAlignment="1" applyProtection="1">
      <alignment vertical="top" wrapText="1"/>
      <protection locked="0"/>
    </xf>
    <xf numFmtId="37" fontId="1" fillId="0" borderId="4" xfId="4" applyNumberFormat="1" applyFont="1" applyBorder="1" applyAlignment="1" applyProtection="1">
      <alignment horizontal="center" vertical="center"/>
      <protection locked="0"/>
    </xf>
    <xf numFmtId="49" fontId="69" fillId="0" borderId="0" xfId="1" applyNumberFormat="1" applyFont="1" applyAlignment="1" applyProtection="1">
      <alignment horizontal="center" vertical="center"/>
      <protection locked="0"/>
    </xf>
    <xf numFmtId="0" fontId="54" fillId="0" borderId="0" xfId="1" applyFont="1" applyProtection="1">
      <protection locked="0"/>
    </xf>
    <xf numFmtId="0" fontId="53" fillId="0" borderId="0" xfId="1" applyFont="1" applyProtection="1">
      <protection locked="0"/>
    </xf>
    <xf numFmtId="2" fontId="1" fillId="0" borderId="4" xfId="1" applyNumberFormat="1" applyBorder="1" applyAlignment="1" applyProtection="1">
      <alignment horizontal="center" wrapText="1"/>
      <protection locked="0"/>
    </xf>
    <xf numFmtId="1" fontId="1" fillId="0" borderId="4" xfId="1" applyNumberFormat="1" applyBorder="1" applyAlignment="1" applyProtection="1">
      <alignment horizontal="center" vertical="center" wrapText="1"/>
      <protection locked="0"/>
    </xf>
    <xf numFmtId="0" fontId="1" fillId="0" borderId="0" xfId="1" applyAlignment="1" applyProtection="1">
      <alignment horizontal="left"/>
      <protection locked="0"/>
    </xf>
    <xf numFmtId="0" fontId="1" fillId="0" borderId="5" xfId="1" applyBorder="1" applyAlignment="1" applyProtection="1">
      <alignment horizontal="right"/>
      <protection locked="0"/>
    </xf>
    <xf numFmtId="37" fontId="1" fillId="0" borderId="4" xfId="4" applyNumberFormat="1" applyBorder="1" applyAlignment="1" applyProtection="1">
      <alignment horizontal="right"/>
      <protection locked="0"/>
    </xf>
    <xf numFmtId="0" fontId="1" fillId="0" borderId="4" xfId="1" applyBorder="1" applyAlignment="1" applyProtection="1">
      <alignment horizontal="right"/>
      <protection locked="0"/>
    </xf>
    <xf numFmtId="37" fontId="1" fillId="0" borderId="4" xfId="1" applyNumberFormat="1" applyBorder="1" applyAlignment="1" applyProtection="1">
      <alignment horizontal="right"/>
      <protection locked="0"/>
    </xf>
    <xf numFmtId="0" fontId="4" fillId="0" borderId="4" xfId="1" applyFont="1" applyBorder="1" applyAlignment="1" applyProtection="1">
      <alignment horizontal="center" vertical="center" wrapText="1"/>
      <protection locked="0"/>
    </xf>
    <xf numFmtId="0" fontId="1" fillId="0" borderId="4" xfId="1" applyBorder="1" applyAlignment="1">
      <alignment horizontal="center" vertical="center" wrapText="1"/>
    </xf>
    <xf numFmtId="0" fontId="1" fillId="0" borderId="4" xfId="1" applyBorder="1" applyAlignment="1" applyProtection="1">
      <alignment horizontal="right" wrapText="1"/>
      <protection locked="0"/>
    </xf>
    <xf numFmtId="0" fontId="1" fillId="0" borderId="0" xfId="0" applyFont="1" applyAlignment="1">
      <alignment horizontal="center" vertical="center"/>
    </xf>
    <xf numFmtId="0" fontId="43" fillId="0" borderId="0" xfId="0" applyFont="1" applyAlignment="1">
      <alignment horizontal="left" vertical="top"/>
    </xf>
    <xf numFmtId="0" fontId="2" fillId="0" borderId="0" xfId="0" applyFont="1"/>
    <xf numFmtId="0" fontId="43" fillId="0" borderId="0" xfId="0" applyFont="1"/>
    <xf numFmtId="0" fontId="2" fillId="0" borderId="0" xfId="0" applyFont="1" applyAlignment="1">
      <alignment horizontal="left" vertical="top"/>
    </xf>
    <xf numFmtId="0" fontId="45" fillId="0" borderId="0" xfId="0" applyFont="1" applyAlignment="1">
      <alignment horizontal="right" vertical="top"/>
    </xf>
    <xf numFmtId="0" fontId="43" fillId="0" borderId="0" xfId="0" applyFont="1" applyAlignment="1">
      <alignment horizontal="left" vertical="center" wrapText="1"/>
    </xf>
    <xf numFmtId="0" fontId="43" fillId="0" borderId="0" xfId="0" applyFont="1" applyAlignment="1">
      <alignment horizontal="right" vertical="top"/>
    </xf>
    <xf numFmtId="0" fontId="41" fillId="0" borderId="0" xfId="0" applyFont="1"/>
    <xf numFmtId="0" fontId="43" fillId="0" borderId="0" xfId="0" applyFont="1" applyAlignment="1">
      <alignment horizontal="center" wrapText="1"/>
    </xf>
    <xf numFmtId="0" fontId="43" fillId="0" borderId="0" xfId="0" applyFont="1" applyAlignment="1">
      <alignment horizontal="center"/>
    </xf>
    <xf numFmtId="0" fontId="44" fillId="0" borderId="0" xfId="0" applyFont="1"/>
    <xf numFmtId="0" fontId="43" fillId="0" borderId="0" xfId="0" applyFont="1" applyAlignment="1">
      <alignment horizontal="center" vertical="center"/>
    </xf>
    <xf numFmtId="0" fontId="2" fillId="0" borderId="0" xfId="0" applyFont="1" applyAlignment="1">
      <alignment horizontal="center" vertical="center"/>
    </xf>
    <xf numFmtId="0" fontId="43" fillId="0" borderId="0" xfId="0" applyFont="1" applyAlignment="1">
      <alignment horizontal="left"/>
    </xf>
    <xf numFmtId="0" fontId="43" fillId="0" borderId="1" xfId="0" applyFont="1" applyBorder="1" applyAlignment="1">
      <alignment horizontal="left" indent="2"/>
    </xf>
    <xf numFmtId="0" fontId="43" fillId="0" borderId="1" xfId="0" applyFont="1" applyBorder="1"/>
    <xf numFmtId="0" fontId="2" fillId="3" borderId="4" xfId="0" applyFont="1" applyFill="1" applyBorder="1" applyAlignment="1">
      <alignment horizontal="center"/>
    </xf>
    <xf numFmtId="0" fontId="43" fillId="0" borderId="8" xfId="0" applyFont="1" applyBorder="1" applyAlignment="1">
      <alignment horizontal="center" vertical="center"/>
    </xf>
    <xf numFmtId="0" fontId="42" fillId="0" borderId="0" xfId="0" applyFont="1"/>
    <xf numFmtId="0" fontId="43" fillId="0" borderId="0" xfId="0" applyFont="1" applyAlignment="1">
      <alignment horizontal="left" vertical="center" wrapText="1" indent="1"/>
    </xf>
    <xf numFmtId="0" fontId="51" fillId="0" borderId="0" xfId="0" applyFont="1"/>
    <xf numFmtId="0" fontId="42" fillId="0" borderId="0" xfId="0" applyFont="1" applyAlignment="1">
      <alignment horizontal="left" vertical="center" wrapText="1" indent="1"/>
    </xf>
    <xf numFmtId="0" fontId="1" fillId="0" borderId="0" xfId="0" applyFont="1" applyAlignment="1">
      <alignment horizontal="left" vertical="top"/>
    </xf>
    <xf numFmtId="0" fontId="2" fillId="0" borderId="0" xfId="0" applyFont="1" applyAlignment="1">
      <alignment vertical="top"/>
    </xf>
    <xf numFmtId="0" fontId="1" fillId="0" borderId="0" xfId="0" applyFont="1"/>
    <xf numFmtId="0" fontId="4" fillId="0" borderId="0" xfId="0" applyFont="1" applyAlignment="1">
      <alignment horizontal="left" vertical="top"/>
    </xf>
    <xf numFmtId="0" fontId="37" fillId="0" borderId="0" xfId="0" applyFont="1" applyAlignment="1">
      <alignment vertical="top" wrapText="1"/>
    </xf>
    <xf numFmtId="0" fontId="9" fillId="0" borderId="0" xfId="0" applyFont="1" applyAlignment="1">
      <alignment horizontal="left" indent="1"/>
    </xf>
    <xf numFmtId="0" fontId="37" fillId="0" borderId="0" xfId="0" applyFont="1" applyAlignment="1">
      <alignment horizontal="left" indent="1"/>
    </xf>
    <xf numFmtId="0" fontId="19" fillId="0" borderId="0" xfId="0" applyFont="1" applyAlignment="1">
      <alignment horizontal="center" vertical="center" wrapText="1"/>
    </xf>
    <xf numFmtId="0" fontId="37" fillId="0" borderId="0" xfId="0" applyFont="1" applyAlignment="1">
      <alignment horizontal="center"/>
    </xf>
    <xf numFmtId="0" fontId="37" fillId="0" borderId="0" xfId="0" applyFont="1" applyAlignment="1">
      <alignment horizontal="left" wrapText="1" indent="1"/>
    </xf>
    <xf numFmtId="0" fontId="9" fillId="0" borderId="0" xfId="0" applyFont="1" applyAlignment="1">
      <alignment horizontal="left" vertical="top" wrapText="1" indent="2"/>
    </xf>
    <xf numFmtId="0" fontId="37" fillId="0" borderId="0" xfId="0" applyFont="1" applyAlignment="1">
      <alignment horizontal="left" vertical="top" wrapText="1" indent="1"/>
    </xf>
    <xf numFmtId="0" fontId="37" fillId="0" borderId="0" xfId="0" applyFont="1" applyAlignment="1">
      <alignment horizontal="center" vertical="center"/>
    </xf>
    <xf numFmtId="0" fontId="19" fillId="0" borderId="0" xfId="0" applyFont="1" applyAlignment="1">
      <alignment horizontal="left" vertical="center"/>
    </xf>
    <xf numFmtId="0" fontId="37" fillId="0" borderId="0" xfId="0" applyFont="1"/>
    <xf numFmtId="0" fontId="19" fillId="0" borderId="0" xfId="0" applyFont="1" applyAlignment="1">
      <alignment horizontal="left" vertical="top"/>
    </xf>
    <xf numFmtId="0" fontId="37" fillId="2" borderId="4" xfId="0" applyFont="1" applyFill="1" applyBorder="1" applyAlignment="1">
      <alignment vertical="center"/>
    </xf>
    <xf numFmtId="0" fontId="19" fillId="0" borderId="4" xfId="0" applyFont="1" applyBorder="1" applyAlignment="1">
      <alignment horizontal="center" vertical="center" wrapText="1"/>
    </xf>
    <xf numFmtId="0" fontId="59" fillId="4" borderId="4" xfId="0" applyFont="1" applyFill="1" applyBorder="1" applyAlignment="1">
      <alignment vertical="center"/>
    </xf>
    <xf numFmtId="0" fontId="9" fillId="0" borderId="4" xfId="0" applyFont="1" applyBorder="1" applyAlignment="1">
      <alignment horizontal="left" wrapText="1" indent="1"/>
    </xf>
    <xf numFmtId="0" fontId="37" fillId="0" borderId="4" xfId="0" applyFont="1" applyBorder="1" applyAlignment="1">
      <alignment horizontal="center" vertical="center"/>
    </xf>
    <xf numFmtId="0" fontId="37" fillId="0" borderId="4" xfId="0" applyFont="1" applyBorder="1" applyAlignment="1">
      <alignment horizontal="left" vertical="center" indent="1"/>
    </xf>
    <xf numFmtId="0" fontId="9" fillId="0" borderId="4" xfId="0" applyFont="1" applyBorder="1"/>
    <xf numFmtId="0" fontId="37" fillId="0" borderId="4" xfId="0" applyFont="1" applyBorder="1" applyAlignment="1">
      <alignment horizontal="left" vertical="center" wrapText="1" indent="1"/>
    </xf>
    <xf numFmtId="0" fontId="37" fillId="0" borderId="0" xfId="0" applyFont="1" applyAlignment="1">
      <alignment horizontal="left" vertical="center" indent="1"/>
    </xf>
    <xf numFmtId="0" fontId="37" fillId="0" borderId="0" xfId="0" applyFont="1" applyAlignment="1">
      <alignment horizontal="left" vertical="center" wrapText="1"/>
    </xf>
    <xf numFmtId="0" fontId="57" fillId="0" borderId="0" xfId="0" applyFont="1" applyAlignment="1">
      <alignment horizontal="center" vertical="top" wrapText="1"/>
    </xf>
    <xf numFmtId="0" fontId="19" fillId="0" borderId="0" xfId="0" applyFont="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center" wrapText="1"/>
    </xf>
    <xf numFmtId="0" fontId="57" fillId="0" borderId="0" xfId="0" applyFont="1" applyAlignment="1">
      <alignment horizontal="center" vertical="center" wrapText="1"/>
    </xf>
    <xf numFmtId="0" fontId="9" fillId="0" borderId="0" xfId="0" applyFont="1" applyAlignment="1">
      <alignment vertical="top" wrapText="1"/>
    </xf>
    <xf numFmtId="0" fontId="37" fillId="0" borderId="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wrapText="1"/>
    </xf>
    <xf numFmtId="0" fontId="37" fillId="0" borderId="0" xfId="0" applyFont="1" applyAlignment="1">
      <alignment wrapText="1"/>
    </xf>
    <xf numFmtId="0" fontId="9" fillId="0" borderId="0" xfId="0" applyFont="1" applyAlignment="1">
      <alignment horizontal="left" vertical="top" wrapText="1"/>
    </xf>
    <xf numFmtId="0" fontId="37" fillId="0" borderId="0" xfId="0" applyFont="1" applyAlignment="1">
      <alignment horizontal="left" vertical="top"/>
    </xf>
    <xf numFmtId="0" fontId="9" fillId="0" borderId="0" xfId="0" applyFont="1" applyAlignment="1">
      <alignment horizontal="left" vertical="top" wrapText="1" indent="1"/>
    </xf>
    <xf numFmtId="0" fontId="58" fillId="0" borderId="0" xfId="0" applyFont="1" applyAlignment="1">
      <alignment vertical="top" wrapText="1"/>
    </xf>
    <xf numFmtId="0" fontId="9" fillId="0" borderId="0" xfId="0" applyFont="1"/>
    <xf numFmtId="0" fontId="8" fillId="0" borderId="0" xfId="0" applyFont="1"/>
    <xf numFmtId="0" fontId="37" fillId="0" borderId="4" xfId="0" applyFont="1" applyBorder="1" applyAlignment="1">
      <alignment horizontal="center"/>
    </xf>
    <xf numFmtId="0" fontId="37" fillId="0" borderId="0" xfId="0" applyFont="1" applyAlignment="1">
      <alignment horizontal="left" vertical="top" wrapText="1"/>
    </xf>
    <xf numFmtId="171" fontId="37" fillId="0" borderId="0" xfId="0" applyNumberFormat="1" applyFont="1" applyAlignment="1">
      <alignment horizontal="center" vertical="center"/>
    </xf>
    <xf numFmtId="0" fontId="9" fillId="0" borderId="0" xfId="0" applyFont="1" applyAlignment="1">
      <alignment horizontal="center" vertical="center" wrapText="1"/>
    </xf>
    <xf numFmtId="0" fontId="5" fillId="0" borderId="0" xfId="0" applyFont="1" applyAlignment="1">
      <alignment horizontal="left" vertical="top" wrapText="1" indent="1"/>
    </xf>
    <xf numFmtId="0" fontId="1" fillId="0" borderId="0" xfId="0" applyFont="1" applyAlignment="1">
      <alignment horizontal="left"/>
    </xf>
    <xf numFmtId="171" fontId="1" fillId="0" borderId="0" xfId="0" applyNumberFormat="1" applyFont="1" applyAlignment="1">
      <alignment horizontal="center" vertical="center"/>
    </xf>
    <xf numFmtId="0" fontId="1" fillId="0" borderId="0" xfId="0" applyFont="1" applyAlignment="1">
      <alignment horizontal="center"/>
    </xf>
    <xf numFmtId="0" fontId="19" fillId="0" borderId="0" xfId="0" applyFont="1"/>
    <xf numFmtId="0" fontId="37" fillId="0" borderId="0" xfId="0" applyFont="1" applyAlignment="1">
      <alignment vertical="center"/>
    </xf>
    <xf numFmtId="0" fontId="8" fillId="0" borderId="0" xfId="0" applyFont="1" applyAlignment="1">
      <alignment horizontal="left" vertical="top" wrapText="1"/>
    </xf>
    <xf numFmtId="0" fontId="9" fillId="0" borderId="0" xfId="0" applyFont="1" applyAlignment="1">
      <alignment horizontal="left" vertical="top"/>
    </xf>
    <xf numFmtId="1" fontId="37" fillId="0" borderId="0" xfId="0" applyNumberFormat="1" applyFont="1" applyAlignment="1">
      <alignment horizontal="right" vertical="center" wrapText="1"/>
    </xf>
    <xf numFmtId="0" fontId="9" fillId="0" borderId="2" xfId="0" applyFont="1" applyBorder="1" applyAlignment="1">
      <alignment horizontal="left" vertical="top" indent="4"/>
    </xf>
    <xf numFmtId="0" fontId="19" fillId="3" borderId="4" xfId="0" applyFont="1" applyFill="1" applyBorder="1" applyAlignment="1">
      <alignment horizontal="center"/>
    </xf>
    <xf numFmtId="0" fontId="37" fillId="0" borderId="4" xfId="0" applyFont="1" applyBorder="1"/>
    <xf numFmtId="0" fontId="37" fillId="0" borderId="4" xfId="0" applyFont="1" applyBorder="1" applyAlignment="1">
      <alignment wrapText="1"/>
    </xf>
    <xf numFmtId="9" fontId="37" fillId="0" borderId="0" xfId="0" applyNumberFormat="1" applyFont="1"/>
    <xf numFmtId="0" fontId="19" fillId="3" borderId="4" xfId="0" applyFont="1" applyFill="1" applyBorder="1" applyAlignment="1">
      <alignment horizontal="center" vertical="center"/>
    </xf>
    <xf numFmtId="0" fontId="19" fillId="3" borderId="4" xfId="0" applyFont="1" applyFill="1" applyBorder="1" applyAlignment="1">
      <alignment horizontal="center" vertical="center" wrapText="1"/>
    </xf>
    <xf numFmtId="0" fontId="8" fillId="3" borderId="4" xfId="0" applyFont="1" applyFill="1" applyBorder="1" applyAlignment="1">
      <alignment horizontal="center" vertical="top"/>
    </xf>
    <xf numFmtId="0" fontId="64" fillId="0" borderId="4" xfId="0" applyFont="1" applyBorder="1" applyAlignment="1">
      <alignment horizontal="center"/>
    </xf>
    <xf numFmtId="10" fontId="9" fillId="0" borderId="0" xfId="0" applyNumberFormat="1" applyFont="1" applyAlignment="1">
      <alignment horizontal="right" vertical="top"/>
    </xf>
    <xf numFmtId="0" fontId="37" fillId="0" borderId="4" xfId="0" quotePrefix="1" applyFont="1" applyBorder="1" applyAlignment="1">
      <alignment horizontal="center"/>
    </xf>
    <xf numFmtId="10" fontId="1" fillId="0" borderId="0" xfId="0" applyNumberFormat="1" applyFont="1" applyAlignment="1">
      <alignment horizontal="right"/>
    </xf>
    <xf numFmtId="0" fontId="19" fillId="0" borderId="0" xfId="0" applyFont="1" applyAlignment="1">
      <alignment horizontal="left" vertical="top" wrapText="1"/>
    </xf>
    <xf numFmtId="0" fontId="19" fillId="3" borderId="4" xfId="0" applyFont="1" applyFill="1" applyBorder="1" applyAlignment="1">
      <alignment horizontal="center" vertical="top" wrapText="1"/>
    </xf>
    <xf numFmtId="0" fontId="8" fillId="3" borderId="4" xfId="0" applyFont="1" applyFill="1" applyBorder="1" applyAlignment="1">
      <alignment horizontal="center" vertical="top" wrapText="1"/>
    </xf>
    <xf numFmtId="0" fontId="1" fillId="0" borderId="8" xfId="0" applyFont="1" applyBorder="1" applyAlignment="1">
      <alignment horizontal="left"/>
    </xf>
    <xf numFmtId="10" fontId="1" fillId="0" borderId="8" xfId="0" applyNumberFormat="1" applyFont="1" applyBorder="1"/>
    <xf numFmtId="172" fontId="37" fillId="0" borderId="0" xfId="0" applyNumberFormat="1" applyFont="1" applyAlignment="1">
      <alignment horizontal="center"/>
    </xf>
    <xf numFmtId="0" fontId="60" fillId="0" borderId="0" xfId="0" applyFont="1" applyAlignment="1">
      <alignment horizontal="left" vertical="top"/>
    </xf>
    <xf numFmtId="0" fontId="60" fillId="0" borderId="0" xfId="0" applyFont="1"/>
    <xf numFmtId="0" fontId="62" fillId="0" borderId="0" xfId="0" applyFont="1"/>
    <xf numFmtId="0" fontId="61" fillId="0" borderId="0" xfId="0" applyFont="1" applyAlignment="1">
      <alignment horizontal="left"/>
    </xf>
    <xf numFmtId="0" fontId="9" fillId="0" borderId="0" xfId="0" applyFont="1" applyAlignment="1">
      <alignment horizontal="center" vertical="center"/>
    </xf>
    <xf numFmtId="0" fontId="9" fillId="0" borderId="0" xfId="0" applyFont="1" applyAlignment="1">
      <alignment horizontal="left"/>
    </xf>
    <xf numFmtId="0" fontId="37" fillId="0" borderId="0" xfId="0" applyFont="1" applyAlignment="1">
      <alignment horizontal="center" wrapText="1"/>
    </xf>
    <xf numFmtId="168" fontId="37" fillId="0" borderId="0" xfId="0" applyNumberFormat="1" applyFont="1" applyAlignment="1">
      <alignment horizontal="right" vertical="top"/>
    </xf>
    <xf numFmtId="0" fontId="9" fillId="3" borderId="4" xfId="0" applyFont="1" applyFill="1" applyBorder="1"/>
    <xf numFmtId="168" fontId="19" fillId="3" borderId="4" xfId="0" applyNumberFormat="1" applyFont="1" applyFill="1" applyBorder="1" applyAlignment="1">
      <alignment horizontal="center" vertical="top"/>
    </xf>
    <xf numFmtId="4" fontId="37" fillId="0" borderId="0" xfId="0" applyNumberFormat="1" applyFont="1" applyAlignment="1">
      <alignment horizontal="right" vertical="top"/>
    </xf>
    <xf numFmtId="168" fontId="37" fillId="0" borderId="0" xfId="0" applyNumberFormat="1" applyFont="1" applyAlignment="1">
      <alignment horizontal="center" vertical="top"/>
    </xf>
    <xf numFmtId="0" fontId="19" fillId="0" borderId="0" xfId="0" applyFont="1" applyAlignment="1">
      <alignment horizontal="left"/>
    </xf>
    <xf numFmtId="0" fontId="37" fillId="0" borderId="0" xfId="0" applyFont="1" applyAlignment="1">
      <alignment horizontal="left"/>
    </xf>
    <xf numFmtId="0" fontId="37" fillId="0" borderId="0" xfId="0" applyFont="1" applyAlignment="1">
      <alignment horizontal="left" vertical="top" wrapText="1" indent="8"/>
    </xf>
    <xf numFmtId="168" fontId="37" fillId="0" borderId="0" xfId="0" applyNumberFormat="1" applyFont="1" applyAlignment="1">
      <alignment horizontal="center"/>
    </xf>
    <xf numFmtId="0" fontId="37" fillId="0" borderId="0" xfId="0" applyFont="1" applyAlignment="1">
      <alignment horizontal="left" wrapText="1"/>
    </xf>
    <xf numFmtId="0" fontId="67" fillId="0" borderId="0" xfId="0" applyFont="1"/>
    <xf numFmtId="0" fontId="67" fillId="0" borderId="0" xfId="0" applyFont="1" applyProtection="1">
      <protection locked="0"/>
    </xf>
    <xf numFmtId="0" fontId="9" fillId="0" borderId="4" xfId="0" applyFont="1" applyBorder="1" applyAlignment="1" applyProtection="1">
      <alignment horizontal="center" vertical="center"/>
      <protection locked="0"/>
    </xf>
    <xf numFmtId="0" fontId="37" fillId="0" borderId="4" xfId="0" applyFont="1" applyBorder="1" applyAlignment="1" applyProtection="1">
      <alignment horizontal="center" vertical="center"/>
      <protection locked="0"/>
    </xf>
    <xf numFmtId="0" fontId="38" fillId="0" borderId="0" xfId="0" applyFont="1" applyProtection="1">
      <protection locked="0"/>
    </xf>
    <xf numFmtId="0" fontId="9" fillId="0" borderId="4" xfId="0" applyFont="1" applyBorder="1" applyAlignment="1" applyProtection="1">
      <alignment horizontal="center" vertical="center" wrapText="1"/>
      <protection locked="0"/>
    </xf>
    <xf numFmtId="0" fontId="37" fillId="4" borderId="4" xfId="0" applyFont="1" applyFill="1" applyBorder="1" applyAlignment="1" applyProtection="1">
      <alignment horizontal="center" vertical="center"/>
      <protection locked="0"/>
    </xf>
    <xf numFmtId="0" fontId="37" fillId="0" borderId="1" xfId="0" applyFont="1" applyBorder="1" applyAlignment="1" applyProtection="1">
      <alignment horizontal="center"/>
      <protection locked="0"/>
    </xf>
    <xf numFmtId="0" fontId="37" fillId="0" borderId="6" xfId="0" applyFont="1" applyBorder="1" applyAlignment="1" applyProtection="1">
      <alignment horizontal="center"/>
      <protection locked="0"/>
    </xf>
    <xf numFmtId="0" fontId="37" fillId="0" borderId="4" xfId="0" applyFont="1" applyBorder="1" applyAlignment="1" applyProtection="1">
      <alignment horizontal="center" vertical="center" wrapText="1"/>
      <protection locked="0"/>
    </xf>
    <xf numFmtId="0" fontId="1" fillId="0" borderId="0" xfId="0" applyFont="1" applyProtection="1">
      <protection locked="0"/>
    </xf>
    <xf numFmtId="0" fontId="69" fillId="0" borderId="0" xfId="0" applyFont="1" applyProtection="1">
      <protection locked="0"/>
    </xf>
    <xf numFmtId="169" fontId="37" fillId="0" borderId="4" xfId="0" applyNumberFormat="1" applyFont="1" applyBorder="1" applyAlignment="1" applyProtection="1">
      <alignment horizontal="center"/>
      <protection locked="0"/>
    </xf>
    <xf numFmtId="0" fontId="39" fillId="0" borderId="0" xfId="1" applyFont="1" applyAlignment="1">
      <alignment horizontal="left" vertical="top"/>
    </xf>
    <xf numFmtId="0" fontId="70" fillId="0" borderId="0" xfId="0" applyFont="1" applyAlignment="1">
      <alignment vertical="center"/>
    </xf>
    <xf numFmtId="0" fontId="20" fillId="0" borderId="0" xfId="0" applyFont="1" applyAlignment="1">
      <alignment horizontal="left"/>
    </xf>
    <xf numFmtId="0" fontId="71" fillId="0" borderId="0" xfId="0" applyFont="1" applyAlignment="1">
      <alignment horizontal="left"/>
    </xf>
    <xf numFmtId="0" fontId="72" fillId="0" borderId="0" xfId="0" applyFont="1" applyAlignment="1">
      <alignment vertical="center"/>
    </xf>
    <xf numFmtId="0" fontId="20" fillId="0" borderId="0" xfId="0" applyFont="1" applyAlignment="1">
      <alignment vertical="center"/>
    </xf>
    <xf numFmtId="0" fontId="71" fillId="0" borderId="0" xfId="0" applyFont="1" applyAlignment="1">
      <alignment horizontal="left" wrapText="1"/>
    </xf>
    <xf numFmtId="0" fontId="72" fillId="0" borderId="0" xfId="0" applyFont="1"/>
    <xf numFmtId="0" fontId="70" fillId="0" borderId="0" xfId="0" applyFont="1" applyAlignment="1">
      <alignment horizontal="left" vertical="center"/>
    </xf>
    <xf numFmtId="37" fontId="20" fillId="0" borderId="0" xfId="0" applyNumberFormat="1" applyFont="1" applyAlignment="1">
      <alignment horizontal="left"/>
    </xf>
    <xf numFmtId="0" fontId="20" fillId="0" borderId="0" xfId="0" applyFont="1" applyAlignment="1">
      <alignment horizontal="center" wrapText="1"/>
    </xf>
    <xf numFmtId="0" fontId="71" fillId="0" borderId="0" xfId="0" applyFont="1" applyAlignment="1">
      <alignment horizontal="left" vertical="center" wrapText="1"/>
    </xf>
    <xf numFmtId="0" fontId="73" fillId="0" borderId="0" xfId="0" applyFont="1" applyAlignment="1">
      <alignment horizontal="left" vertical="top" wrapText="1"/>
    </xf>
    <xf numFmtId="0" fontId="71" fillId="0" borderId="0" xfId="0" applyFont="1" applyAlignment="1">
      <alignment horizontal="left" vertical="top" wrapText="1"/>
    </xf>
    <xf numFmtId="0" fontId="73" fillId="0" borderId="0" xfId="0" applyFont="1" applyAlignment="1">
      <alignment horizontal="left"/>
    </xf>
    <xf numFmtId="0" fontId="73" fillId="0" borderId="0" xfId="0" applyFont="1" applyAlignment="1">
      <alignment horizontal="left" vertical="center"/>
    </xf>
    <xf numFmtId="0" fontId="74" fillId="0" borderId="0" xfId="0" applyFont="1" applyAlignment="1">
      <alignment horizontal="left" vertical="top" wrapText="1"/>
    </xf>
    <xf numFmtId="1" fontId="20" fillId="0" borderId="0" xfId="0" applyNumberFormat="1" applyFont="1" applyAlignment="1">
      <alignment horizontal="center" wrapText="1"/>
    </xf>
    <xf numFmtId="0" fontId="71" fillId="0" borderId="0" xfId="1" applyFont="1" applyAlignment="1">
      <alignment horizontal="left" wrapText="1"/>
    </xf>
    <xf numFmtId="0" fontId="71" fillId="0" borderId="0" xfId="1" applyFont="1" applyAlignment="1">
      <alignment horizontal="left" vertical="top"/>
    </xf>
    <xf numFmtId="0" fontId="71" fillId="0" borderId="0" xfId="1" applyFont="1" applyAlignment="1">
      <alignment horizontal="left" vertical="top" wrapText="1"/>
    </xf>
    <xf numFmtId="2" fontId="20" fillId="0" borderId="0" xfId="0" applyNumberFormat="1" applyFont="1" applyAlignment="1">
      <alignment horizontal="left"/>
    </xf>
    <xf numFmtId="1" fontId="20" fillId="0" borderId="0" xfId="0" applyNumberFormat="1" applyFont="1" applyAlignment="1">
      <alignment horizontal="left"/>
    </xf>
    <xf numFmtId="49" fontId="71" fillId="0" borderId="0" xfId="1" applyNumberFormat="1" applyFont="1" applyAlignment="1">
      <alignment horizontal="left" vertical="top" wrapText="1"/>
    </xf>
    <xf numFmtId="14" fontId="20" fillId="0" borderId="0" xfId="0" applyNumberFormat="1" applyFont="1" applyAlignment="1">
      <alignment horizontal="left"/>
    </xf>
    <xf numFmtId="1" fontId="20" fillId="0" borderId="0" xfId="0" applyNumberFormat="1" applyFont="1" applyAlignment="1">
      <alignment vertical="center"/>
    </xf>
    <xf numFmtId="10" fontId="20" fillId="0" borderId="0" xfId="0" applyNumberFormat="1" applyFont="1"/>
    <xf numFmtId="169" fontId="20" fillId="0" borderId="0" xfId="0" applyNumberFormat="1" applyFont="1"/>
    <xf numFmtId="49" fontId="20" fillId="0" borderId="0" xfId="0" applyNumberFormat="1" applyFont="1"/>
    <xf numFmtId="0" fontId="71" fillId="0" borderId="0" xfId="0" applyFont="1" applyProtection="1">
      <protection locked="0"/>
    </xf>
    <xf numFmtId="0" fontId="71" fillId="0" borderId="0" xfId="0" applyFont="1" applyAlignment="1" applyProtection="1">
      <alignment vertical="center"/>
      <protection locked="0"/>
    </xf>
    <xf numFmtId="0" fontId="20" fillId="0" borderId="0" xfId="0" applyFont="1" applyAlignment="1">
      <alignment horizontal="center"/>
    </xf>
    <xf numFmtId="37" fontId="20" fillId="0" borderId="0" xfId="0" applyNumberFormat="1" applyFont="1" applyAlignment="1">
      <alignment horizontal="center"/>
    </xf>
    <xf numFmtId="0" fontId="71" fillId="0" borderId="0" xfId="1" applyFont="1" applyAlignment="1">
      <alignment vertical="top" wrapText="1"/>
    </xf>
    <xf numFmtId="8" fontId="20" fillId="0" borderId="0" xfId="0" applyNumberFormat="1" applyFont="1"/>
    <xf numFmtId="8" fontId="20" fillId="0" borderId="3" xfId="0" applyNumberFormat="1" applyFont="1" applyBorder="1"/>
    <xf numFmtId="0" fontId="20" fillId="0" borderId="0" xfId="0" applyFont="1" applyAlignment="1">
      <alignment wrapText="1"/>
    </xf>
    <xf numFmtId="0" fontId="71" fillId="0" borderId="0" xfId="1" applyFont="1"/>
    <xf numFmtId="1" fontId="71" fillId="0" borderId="0" xfId="1" applyNumberFormat="1" applyFont="1" applyAlignment="1">
      <alignment vertical="top"/>
    </xf>
    <xf numFmtId="0" fontId="74" fillId="0" borderId="0" xfId="1" applyFont="1" applyAlignment="1">
      <alignment vertical="top"/>
    </xf>
    <xf numFmtId="0" fontId="20" fillId="0" borderId="0" xfId="0" applyFont="1" applyAlignment="1">
      <alignment horizontal="left" vertical="center"/>
    </xf>
    <xf numFmtId="0" fontId="20" fillId="0" borderId="0" xfId="0" applyFont="1" applyAlignment="1">
      <alignment horizontal="left" vertical="center" wrapText="1"/>
    </xf>
    <xf numFmtId="170" fontId="20" fillId="0" borderId="0" xfId="0" applyNumberFormat="1" applyFont="1" applyAlignment="1">
      <alignment horizontal="left" vertical="center"/>
    </xf>
    <xf numFmtId="0" fontId="75" fillId="2" borderId="23" xfId="1" applyFont="1" applyFill="1" applyBorder="1" applyAlignment="1">
      <alignment horizontal="center" vertical="center" wrapText="1"/>
    </xf>
    <xf numFmtId="0" fontId="76" fillId="0" borderId="0" xfId="1" applyFont="1" applyAlignment="1">
      <alignment wrapText="1"/>
    </xf>
    <xf numFmtId="0" fontId="77" fillId="0" borderId="0" xfId="1" applyFont="1" applyAlignment="1">
      <alignment horizontal="justify" vertical="center"/>
    </xf>
    <xf numFmtId="0" fontId="79" fillId="0" borderId="0" xfId="1" applyFont="1" applyAlignment="1">
      <alignment horizontal="justify" vertical="center"/>
    </xf>
    <xf numFmtId="0" fontId="82" fillId="0" borderId="0" xfId="1" applyFont="1" applyAlignment="1">
      <alignment horizontal="justify" vertical="center"/>
    </xf>
    <xf numFmtId="0" fontId="80" fillId="0" borderId="0" xfId="1" applyFont="1" applyAlignment="1">
      <alignment horizontal="justify" vertical="center"/>
    </xf>
    <xf numFmtId="0" fontId="84" fillId="0" borderId="0" xfId="1" applyFont="1" applyAlignment="1">
      <alignment horizontal="justify" vertical="center"/>
    </xf>
    <xf numFmtId="0" fontId="81" fillId="0" borderId="0" xfId="1" applyFont="1" applyAlignment="1">
      <alignment horizontal="justify" vertical="center"/>
    </xf>
    <xf numFmtId="0" fontId="85" fillId="0" borderId="0" xfId="1" applyFont="1" applyAlignment="1">
      <alignment horizontal="justify" vertical="center"/>
    </xf>
    <xf numFmtId="0" fontId="74" fillId="0" borderId="0" xfId="1" applyFont="1" applyAlignment="1">
      <alignment horizontal="center" vertical="center"/>
    </xf>
    <xf numFmtId="0" fontId="76" fillId="0" borderId="0" xfId="1" applyFont="1"/>
    <xf numFmtId="0" fontId="76" fillId="0" borderId="23" xfId="1" applyFont="1" applyBorder="1" applyAlignment="1">
      <alignment horizontal="left" vertical="top" wrapText="1"/>
    </xf>
    <xf numFmtId="0" fontId="77" fillId="0" borderId="0" xfId="1" applyFont="1" applyAlignment="1">
      <alignment horizontal="justify" vertical="center" wrapText="1"/>
    </xf>
    <xf numFmtId="2" fontId="1" fillId="0" borderId="4" xfId="1" applyNumberFormat="1" applyBorder="1" applyAlignment="1" applyProtection="1">
      <alignment horizontal="center" vertical="center" wrapText="1"/>
      <protection locked="0"/>
    </xf>
    <xf numFmtId="0" fontId="1" fillId="0" borderId="21"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19" xfId="1" applyBorder="1" applyAlignment="1" applyProtection="1">
      <alignment horizontal="center" vertical="center"/>
      <protection locked="0"/>
    </xf>
    <xf numFmtId="0" fontId="1" fillId="0" borderId="0" xfId="1" applyAlignment="1" applyProtection="1">
      <alignment horizontal="center" vertical="center"/>
      <protection locked="0"/>
    </xf>
    <xf numFmtId="0" fontId="91" fillId="0" borderId="4" xfId="1" applyFont="1" applyBorder="1" applyAlignment="1">
      <alignment horizontal="left" vertical="center" wrapText="1"/>
    </xf>
    <xf numFmtId="0" fontId="92" fillId="0" borderId="4" xfId="1" applyFont="1" applyBorder="1" applyAlignment="1">
      <alignment horizontal="left" vertical="center" wrapText="1"/>
    </xf>
    <xf numFmtId="0" fontId="91" fillId="0" borderId="4" xfId="1" applyFont="1" applyBorder="1" applyAlignment="1">
      <alignment vertical="center" wrapText="1"/>
    </xf>
    <xf numFmtId="0" fontId="93" fillId="0" borderId="4" xfId="1" applyFont="1" applyBorder="1" applyAlignment="1">
      <alignment horizontal="left" vertical="center" wrapText="1"/>
    </xf>
    <xf numFmtId="0" fontId="55" fillId="3" borderId="4" xfId="1" applyFont="1" applyFill="1" applyBorder="1" applyAlignment="1">
      <alignment horizontal="center"/>
    </xf>
    <xf numFmtId="1" fontId="1" fillId="0" borderId="4" xfId="1" applyNumberFormat="1" applyBorder="1" applyAlignment="1">
      <alignment horizontal="center" vertical="center" wrapText="1"/>
    </xf>
    <xf numFmtId="10" fontId="4" fillId="0" borderId="0" xfId="1" applyNumberFormat="1" applyFont="1" applyAlignment="1">
      <alignment horizontal="left" vertical="center"/>
    </xf>
    <xf numFmtId="9" fontId="19" fillId="0" borderId="1" xfId="0" applyNumberFormat="1" applyFont="1" applyBorder="1" applyAlignment="1">
      <alignment horizontal="center" vertical="center" wrapText="1"/>
    </xf>
    <xf numFmtId="0" fontId="8" fillId="0" borderId="1" xfId="0" applyFont="1" applyBorder="1" applyAlignment="1">
      <alignment horizontal="center" vertical="top" wrapText="1"/>
    </xf>
    <xf numFmtId="1" fontId="37" fillId="0" borderId="4" xfId="0" applyNumberFormat="1" applyFont="1" applyBorder="1" applyAlignment="1" applyProtection="1">
      <alignment horizontal="center" vertical="center" wrapText="1"/>
      <protection locked="0"/>
    </xf>
    <xf numFmtId="1" fontId="37" fillId="0" borderId="4" xfId="0" applyNumberFormat="1" applyFont="1" applyBorder="1" applyAlignment="1" applyProtection="1">
      <alignment horizontal="right"/>
      <protection locked="0"/>
    </xf>
    <xf numFmtId="1" fontId="37" fillId="0" borderId="4" xfId="0" applyNumberFormat="1" applyFont="1" applyBorder="1" applyAlignment="1" applyProtection="1">
      <alignment horizontal="right" wrapText="1"/>
      <protection locked="0"/>
    </xf>
    <xf numFmtId="1" fontId="37" fillId="0" borderId="21" xfId="0" applyNumberFormat="1" applyFont="1" applyBorder="1"/>
    <xf numFmtId="9" fontId="19" fillId="0" borderId="0" xfId="2" applyFont="1" applyBorder="1" applyAlignment="1" applyProtection="1">
      <alignment horizontal="left"/>
    </xf>
    <xf numFmtId="49" fontId="4" fillId="3" borderId="4" xfId="1" applyNumberFormat="1" applyFont="1" applyFill="1" applyBorder="1" applyAlignment="1">
      <alignment horizontal="center" vertical="center" wrapText="1"/>
    </xf>
    <xf numFmtId="1" fontId="1" fillId="0" borderId="4" xfId="2" applyNumberFormat="1" applyFont="1" applyBorder="1" applyAlignment="1" applyProtection="1">
      <alignment horizontal="center" vertical="center"/>
      <protection locked="0"/>
    </xf>
    <xf numFmtId="1" fontId="14" fillId="0" borderId="4" xfId="2" applyNumberFormat="1" applyFont="1" applyBorder="1" applyAlignment="1" applyProtection="1">
      <alignment horizontal="center" vertical="center"/>
      <protection locked="0"/>
    </xf>
    <xf numFmtId="0" fontId="55" fillId="0" borderId="4" xfId="1" applyFont="1" applyBorder="1" applyAlignment="1">
      <alignment horizontal="center" vertical="top"/>
    </xf>
    <xf numFmtId="1" fontId="5" fillId="0" borderId="4" xfId="1" applyNumberFormat="1" applyFont="1" applyBorder="1" applyAlignment="1" applyProtection="1">
      <alignment horizontal="center" vertical="center" wrapText="1"/>
      <protection locked="0"/>
    </xf>
    <xf numFmtId="1" fontId="1" fillId="0" borderId="4" xfId="2" applyNumberFormat="1" applyFont="1" applyFill="1" applyBorder="1" applyAlignment="1" applyProtection="1">
      <alignment horizontal="center" vertical="center"/>
      <protection locked="0"/>
    </xf>
    <xf numFmtId="1" fontId="4" fillId="3" borderId="4" xfId="2" applyNumberFormat="1" applyFont="1" applyFill="1" applyBorder="1" applyAlignment="1" applyProtection="1">
      <alignment horizontal="center" vertical="center"/>
    </xf>
    <xf numFmtId="1" fontId="71" fillId="0" borderId="0" xfId="0" applyNumberFormat="1" applyFont="1" applyAlignment="1">
      <alignment horizontal="left" vertical="center"/>
    </xf>
    <xf numFmtId="1" fontId="71" fillId="0" borderId="0" xfId="0" applyNumberFormat="1" applyFont="1"/>
    <xf numFmtId="1" fontId="20" fillId="0" borderId="0" xfId="0" applyNumberFormat="1" applyFont="1" applyAlignment="1">
      <alignment horizontal="center"/>
    </xf>
    <xf numFmtId="1" fontId="37" fillId="0" borderId="4" xfId="0" applyNumberFormat="1" applyFont="1" applyBorder="1" applyAlignment="1">
      <alignment horizontal="right"/>
    </xf>
    <xf numFmtId="0" fontId="8" fillId="0" borderId="0" xfId="0" applyFont="1" applyAlignment="1">
      <alignment horizontal="left" vertical="top"/>
    </xf>
    <xf numFmtId="1" fontId="9" fillId="0" borderId="4" xfId="0" applyNumberFormat="1" applyFont="1" applyBorder="1" applyAlignment="1" applyProtection="1">
      <alignment horizontal="right" vertical="top"/>
      <protection locked="0"/>
    </xf>
    <xf numFmtId="1" fontId="9" fillId="0" borderId="4" xfId="0" applyNumberFormat="1" applyFont="1" applyBorder="1" applyAlignment="1">
      <alignment horizontal="right" vertical="top"/>
    </xf>
    <xf numFmtId="0" fontId="95" fillId="0" borderId="0" xfId="0" applyFont="1"/>
    <xf numFmtId="1" fontId="37" fillId="0" borderId="4" xfId="2" applyNumberFormat="1" applyFont="1" applyBorder="1" applyAlignment="1" applyProtection="1">
      <alignment horizontal="right"/>
      <protection locked="0"/>
    </xf>
    <xf numFmtId="1" fontId="37" fillId="0" borderId="19" xfId="0" applyNumberFormat="1" applyFont="1" applyBorder="1" applyAlignment="1">
      <alignment horizontal="right"/>
    </xf>
    <xf numFmtId="2" fontId="20" fillId="0" borderId="0" xfId="0" applyNumberFormat="1" applyFont="1"/>
    <xf numFmtId="2" fontId="37" fillId="0" borderId="21" xfId="0" applyNumberFormat="1" applyFont="1" applyBorder="1" applyAlignment="1" applyProtection="1">
      <alignment horizontal="center" vertical="center"/>
      <protection locked="0"/>
    </xf>
    <xf numFmtId="0" fontId="20" fillId="8" borderId="0" xfId="0" applyFont="1" applyFill="1" applyAlignment="1">
      <alignment horizontal="left"/>
    </xf>
    <xf numFmtId="0" fontId="73" fillId="8" borderId="0" xfId="0" applyFont="1" applyFill="1" applyAlignment="1">
      <alignment vertical="top" wrapText="1"/>
    </xf>
    <xf numFmtId="0" fontId="20" fillId="8" borderId="0" xfId="0" applyFont="1" applyFill="1" applyAlignment="1">
      <alignment horizontal="center" wrapText="1"/>
    </xf>
    <xf numFmtId="14" fontId="20" fillId="8" borderId="0" xfId="0" applyNumberFormat="1" applyFont="1" applyFill="1" applyAlignment="1">
      <alignment horizontal="center" wrapText="1"/>
    </xf>
    <xf numFmtId="0" fontId="71" fillId="8" borderId="0" xfId="0" applyFont="1" applyFill="1" applyAlignment="1">
      <alignment horizontal="left" vertical="center" wrapText="1"/>
    </xf>
    <xf numFmtId="0" fontId="20" fillId="8" borderId="0" xfId="0" applyFont="1" applyFill="1"/>
    <xf numFmtId="14" fontId="20" fillId="8" borderId="0" xfId="0" applyNumberFormat="1" applyFont="1" applyFill="1" applyAlignment="1">
      <alignment horizontal="left"/>
    </xf>
    <xf numFmtId="0" fontId="72" fillId="8" borderId="0" xfId="0" applyFont="1" applyFill="1"/>
    <xf numFmtId="14" fontId="20" fillId="8" borderId="0" xfId="0" applyNumberFormat="1" applyFont="1" applyFill="1"/>
    <xf numFmtId="14" fontId="71" fillId="8" borderId="0" xfId="1" applyNumberFormat="1" applyFont="1" applyFill="1" applyAlignment="1">
      <alignment vertical="top"/>
    </xf>
    <xf numFmtId="0" fontId="20" fillId="5" borderId="0" xfId="0" applyFont="1" applyFill="1"/>
    <xf numFmtId="173" fontId="37" fillId="0" borderId="4" xfId="0" applyNumberFormat="1" applyFont="1" applyBorder="1" applyAlignment="1" applyProtection="1">
      <alignment horizontal="center"/>
      <protection locked="0"/>
    </xf>
    <xf numFmtId="173" fontId="37" fillId="0" borderId="4" xfId="0" applyNumberFormat="1" applyFont="1" applyBorder="1" applyAlignment="1" applyProtection="1">
      <alignment horizontal="center" vertical="center"/>
      <protection locked="0"/>
    </xf>
    <xf numFmtId="173" fontId="37" fillId="0" borderId="1" xfId="0" applyNumberFormat="1" applyFont="1" applyBorder="1" applyAlignment="1" applyProtection="1">
      <alignment horizontal="center"/>
      <protection locked="0"/>
    </xf>
    <xf numFmtId="173" fontId="37" fillId="0" borderId="6" xfId="0" applyNumberFormat="1" applyFont="1" applyBorder="1" applyAlignment="1" applyProtection="1">
      <alignment horizontal="center"/>
      <protection locked="0"/>
    </xf>
    <xf numFmtId="173" fontId="1" fillId="0" borderId="4" xfId="1" applyNumberFormat="1" applyBorder="1" applyAlignment="1" applyProtection="1">
      <alignment horizontal="center" vertical="center"/>
      <protection locked="0"/>
    </xf>
    <xf numFmtId="173" fontId="1" fillId="0" borderId="4" xfId="1" applyNumberFormat="1" applyBorder="1" applyAlignment="1" applyProtection="1">
      <alignment horizontal="center"/>
      <protection locked="0"/>
    </xf>
    <xf numFmtId="173" fontId="1" fillId="0" borderId="19" xfId="1" applyNumberFormat="1" applyBorder="1" applyAlignment="1" applyProtection="1">
      <alignment horizontal="center"/>
      <protection locked="0"/>
    </xf>
    <xf numFmtId="173" fontId="1" fillId="0" borderId="1" xfId="1" applyNumberFormat="1" applyBorder="1" applyAlignment="1" applyProtection="1">
      <alignment horizontal="left" indent="4"/>
      <protection locked="0"/>
    </xf>
    <xf numFmtId="173" fontId="1" fillId="0" borderId="1" xfId="1" applyNumberFormat="1" applyBorder="1" applyAlignment="1" applyProtection="1">
      <alignment horizontal="left" indent="1"/>
      <protection locked="0"/>
    </xf>
    <xf numFmtId="1" fontId="37" fillId="0" borderId="4" xfId="0" applyNumberFormat="1" applyFont="1" applyBorder="1" applyAlignment="1" applyProtection="1">
      <alignment horizontal="center" vertical="center"/>
      <protection locked="0"/>
    </xf>
    <xf numFmtId="49" fontId="1" fillId="0" borderId="0" xfId="1" quotePrefix="1" applyNumberFormat="1" applyAlignment="1">
      <alignment horizontal="left" vertical="center" indent="1"/>
    </xf>
    <xf numFmtId="0" fontId="9" fillId="0" borderId="4" xfId="0" applyFont="1" applyBorder="1" applyAlignment="1">
      <alignment vertical="center" wrapText="1"/>
    </xf>
    <xf numFmtId="0" fontId="8" fillId="0" borderId="4" xfId="0" applyFont="1" applyBorder="1" applyAlignment="1">
      <alignment horizontal="center" vertical="center" wrapText="1"/>
    </xf>
    <xf numFmtId="16" fontId="37" fillId="0" borderId="8" xfId="0" applyNumberFormat="1" applyFont="1" applyBorder="1" applyAlignment="1" applyProtection="1">
      <alignment horizontal="center"/>
      <protection locked="0"/>
    </xf>
    <xf numFmtId="0" fontId="86" fillId="0" borderId="0" xfId="0" applyFont="1"/>
    <xf numFmtId="0" fontId="96" fillId="0" borderId="0" xfId="0" applyFont="1"/>
    <xf numFmtId="0" fontId="96" fillId="9" borderId="4" xfId="0" applyFont="1" applyFill="1" applyBorder="1" applyAlignment="1">
      <alignment vertical="center"/>
    </xf>
    <xf numFmtId="0" fontId="88" fillId="9" borderId="4" xfId="0" applyFont="1" applyFill="1" applyBorder="1" applyAlignment="1">
      <alignment horizontal="center" vertical="center" wrapText="1"/>
    </xf>
    <xf numFmtId="0" fontId="96" fillId="0" borderId="4" xfId="0" applyFont="1" applyBorder="1" applyAlignment="1">
      <alignment vertical="center"/>
    </xf>
    <xf numFmtId="0" fontId="96" fillId="0" borderId="0" xfId="0" applyFont="1" applyAlignment="1">
      <alignment vertical="center"/>
    </xf>
    <xf numFmtId="1" fontId="96" fillId="0" borderId="4" xfId="0" applyNumberFormat="1" applyFont="1" applyBorder="1" applyAlignment="1" applyProtection="1">
      <alignment horizontal="center" vertical="center"/>
      <protection locked="0"/>
    </xf>
    <xf numFmtId="0" fontId="96" fillId="0" borderId="4" xfId="0" applyFont="1" applyBorder="1" applyProtection="1">
      <protection locked="0"/>
    </xf>
    <xf numFmtId="0" fontId="1" fillId="0" borderId="1" xfId="1" applyBorder="1" applyAlignment="1" applyProtection="1">
      <alignment horizontal="center"/>
      <protection locked="0"/>
    </xf>
    <xf numFmtId="0" fontId="1" fillId="0" borderId="0" xfId="1" applyAlignment="1">
      <alignment wrapText="1"/>
    </xf>
    <xf numFmtId="0" fontId="1" fillId="0" borderId="5" xfId="1" applyBorder="1" applyAlignment="1" applyProtection="1">
      <alignment horizontal="left" vertical="top" wrapText="1"/>
      <protection locked="0"/>
    </xf>
    <xf numFmtId="0" fontId="1" fillId="0" borderId="6" xfId="1" applyBorder="1" applyAlignment="1" applyProtection="1">
      <alignment horizontal="left" vertical="top" wrapText="1"/>
      <protection locked="0"/>
    </xf>
    <xf numFmtId="0" fontId="1" fillId="0" borderId="7" xfId="1" applyBorder="1" applyAlignment="1" applyProtection="1">
      <alignment horizontal="left" vertical="top" wrapText="1"/>
      <protection locked="0"/>
    </xf>
    <xf numFmtId="0" fontId="2" fillId="2" borderId="0" xfId="1" applyFont="1" applyFill="1" applyAlignment="1">
      <alignment horizontal="center" vertical="center"/>
    </xf>
    <xf numFmtId="0" fontId="1" fillId="0" borderId="0" xfId="1"/>
    <xf numFmtId="0" fontId="1" fillId="0" borderId="0" xfId="1" applyAlignment="1">
      <alignment horizontal="left" vertical="top" wrapText="1"/>
    </xf>
    <xf numFmtId="0" fontId="1" fillId="0" borderId="0" xfId="1" applyAlignment="1">
      <alignment horizontal="left" vertical="center" wrapText="1"/>
    </xf>
    <xf numFmtId="0" fontId="30" fillId="0" borderId="5" xfId="5" applyBorder="1" applyAlignment="1" applyProtection="1">
      <alignment horizontal="center" vertical="center"/>
      <protection locked="0"/>
    </xf>
    <xf numFmtId="0" fontId="1" fillId="0" borderId="6" xfId="1" applyBorder="1" applyAlignment="1" applyProtection="1">
      <alignment horizontal="center" vertical="center"/>
      <protection locked="0"/>
    </xf>
    <xf numFmtId="0" fontId="1" fillId="0" borderId="7" xfId="1" applyBorder="1" applyAlignment="1" applyProtection="1">
      <alignment horizontal="center" vertical="center"/>
      <protection locked="0"/>
    </xf>
    <xf numFmtId="0" fontId="1" fillId="0" borderId="1" xfId="1" applyBorder="1" applyAlignment="1" applyProtection="1">
      <alignment horizontal="left"/>
      <protection locked="0"/>
    </xf>
    <xf numFmtId="0" fontId="4" fillId="0" borderId="1" xfId="1" applyFont="1" applyBorder="1" applyAlignment="1" applyProtection="1">
      <alignment horizontal="left"/>
      <protection locked="0"/>
    </xf>
    <xf numFmtId="0" fontId="1" fillId="0" borderId="1" xfId="1" applyBorder="1" applyAlignment="1" applyProtection="1">
      <alignment horizontal="left" wrapText="1"/>
      <protection locked="0"/>
    </xf>
    <xf numFmtId="0" fontId="1" fillId="0" borderId="8" xfId="1" applyBorder="1" applyAlignment="1">
      <alignment horizontal="left" vertical="top" wrapText="1"/>
    </xf>
    <xf numFmtId="0" fontId="4" fillId="0" borderId="0" xfId="1" applyFont="1" applyAlignment="1">
      <alignment horizontal="left" vertical="center" wrapText="1"/>
    </xf>
    <xf numFmtId="0" fontId="68" fillId="0" borderId="0" xfId="1" applyFont="1" applyAlignment="1">
      <alignment horizontal="left" vertical="top" wrapText="1"/>
    </xf>
    <xf numFmtId="0" fontId="1" fillId="0" borderId="1" xfId="1" applyBorder="1" applyAlignment="1">
      <alignment horizontal="left" vertical="center" wrapText="1"/>
    </xf>
    <xf numFmtId="0" fontId="18" fillId="0" borderId="5" xfId="1" applyFont="1" applyBorder="1" applyAlignment="1">
      <alignment horizontal="left" vertical="top" wrapText="1"/>
    </xf>
    <xf numFmtId="0" fontId="18" fillId="0" borderId="6" xfId="1" applyFont="1" applyBorder="1" applyAlignment="1">
      <alignment horizontal="left" vertical="top" wrapText="1"/>
    </xf>
    <xf numFmtId="0" fontId="14" fillId="0" borderId="5" xfId="1" applyFont="1" applyBorder="1" applyAlignment="1">
      <alignment horizontal="left" vertical="top" wrapText="1"/>
    </xf>
    <xf numFmtId="0" fontId="14" fillId="0" borderId="6" xfId="1" applyFont="1" applyBorder="1" applyAlignment="1">
      <alignment horizontal="left" vertical="top" wrapText="1"/>
    </xf>
    <xf numFmtId="0" fontId="46" fillId="0" borderId="0" xfId="1" applyFont="1" applyAlignment="1">
      <alignment horizontal="left" vertical="top" wrapText="1"/>
    </xf>
    <xf numFmtId="0" fontId="46" fillId="0" borderId="0" xfId="1" applyFont="1" applyAlignment="1">
      <alignment horizontal="left" vertical="center" wrapText="1"/>
    </xf>
    <xf numFmtId="0" fontId="1" fillId="3" borderId="4" xfId="1" applyFill="1" applyBorder="1" applyAlignment="1">
      <alignment horizontal="center"/>
    </xf>
    <xf numFmtId="0" fontId="1" fillId="0" borderId="0" xfId="1" applyAlignment="1">
      <alignment horizontal="left" vertical="top" wrapText="1" indent="1"/>
    </xf>
    <xf numFmtId="0" fontId="1" fillId="0" borderId="0" xfId="1" applyAlignment="1">
      <alignment horizontal="left" vertical="top" wrapText="1" indent="4"/>
    </xf>
    <xf numFmtId="0" fontId="1" fillId="0" borderId="1" xfId="1" applyBorder="1" applyAlignment="1">
      <alignment horizontal="left" vertical="top" wrapText="1" indent="4"/>
    </xf>
    <xf numFmtId="0" fontId="46" fillId="0" borderId="2" xfId="1" applyFont="1" applyBorder="1" applyAlignment="1">
      <alignment horizontal="left" vertical="top" wrapText="1"/>
    </xf>
    <xf numFmtId="0" fontId="46" fillId="0" borderId="3" xfId="1" applyFont="1" applyBorder="1" applyAlignment="1">
      <alignment horizontal="left" vertical="top" wrapText="1"/>
    </xf>
    <xf numFmtId="0" fontId="4" fillId="0" borderId="0" xfId="1" applyFont="1" applyAlignment="1">
      <alignment horizontal="center" vertical="center" wrapText="1"/>
    </xf>
    <xf numFmtId="0" fontId="90" fillId="0" borderId="1" xfId="1" applyFont="1" applyBorder="1" applyAlignment="1">
      <alignment horizontal="center" vertical="center" wrapText="1"/>
    </xf>
    <xf numFmtId="0" fontId="22" fillId="3" borderId="21" xfId="1" applyFont="1" applyFill="1" applyBorder="1" applyAlignment="1">
      <alignment horizontal="center" vertical="center" wrapText="1"/>
    </xf>
    <xf numFmtId="0" fontId="22" fillId="3" borderId="19" xfId="1" applyFont="1" applyFill="1" applyBorder="1" applyAlignment="1">
      <alignment horizontal="center" vertical="center" wrapText="1"/>
    </xf>
    <xf numFmtId="0" fontId="15" fillId="0" borderId="21" xfId="1" applyFont="1" applyBorder="1" applyAlignment="1">
      <alignment horizontal="center" vertical="center" wrapText="1"/>
    </xf>
    <xf numFmtId="0" fontId="15" fillId="0" borderId="19" xfId="1" applyFont="1" applyBorder="1" applyAlignment="1">
      <alignment horizontal="center" vertical="center" wrapText="1"/>
    </xf>
    <xf numFmtId="0" fontId="90" fillId="0" borderId="0" xfId="1" applyFont="1" applyAlignment="1">
      <alignment horizontal="center" vertical="center" wrapText="1"/>
    </xf>
    <xf numFmtId="0" fontId="55" fillId="0" borderId="0" xfId="1" applyFont="1" applyAlignment="1">
      <alignment horizontal="center" vertical="center" wrapText="1"/>
    </xf>
    <xf numFmtId="0" fontId="27" fillId="3" borderId="4" xfId="1" applyFont="1" applyFill="1" applyBorder="1" applyAlignment="1">
      <alignment horizontal="center" vertical="center" wrapText="1"/>
    </xf>
    <xf numFmtId="0" fontId="15" fillId="0" borderId="4" xfId="1" applyFont="1" applyBorder="1" applyAlignment="1">
      <alignment horizontal="center" vertical="center" wrapText="1"/>
    </xf>
    <xf numFmtId="0" fontId="1" fillId="0" borderId="4" xfId="1" applyBorder="1" applyAlignment="1">
      <alignment vertical="center"/>
    </xf>
    <xf numFmtId="0" fontId="5" fillId="0" borderId="5" xfId="1" applyFont="1" applyBorder="1"/>
    <xf numFmtId="0" fontId="1" fillId="0" borderId="7" xfId="1" applyBorder="1"/>
    <xf numFmtId="0" fontId="1" fillId="0" borderId="5" xfId="1" applyBorder="1"/>
    <xf numFmtId="0" fontId="1" fillId="3" borderId="4" xfId="1" applyFill="1" applyBorder="1" applyAlignment="1">
      <alignment vertical="center"/>
    </xf>
    <xf numFmtId="0" fontId="1" fillId="0" borderId="5" xfId="1" applyBorder="1" applyAlignment="1">
      <alignment vertical="center" wrapText="1"/>
    </xf>
    <xf numFmtId="0" fontId="1" fillId="0" borderId="7" xfId="1" applyBorder="1" applyAlignment="1">
      <alignment vertical="center" wrapText="1"/>
    </xf>
    <xf numFmtId="0" fontId="4" fillId="0" borderId="4" xfId="1" applyFont="1" applyBorder="1" applyAlignment="1">
      <alignment vertical="center"/>
    </xf>
    <xf numFmtId="0" fontId="4" fillId="0" borderId="0" xfId="1" applyFont="1" applyAlignment="1">
      <alignment horizontal="left" wrapText="1"/>
    </xf>
    <xf numFmtId="0" fontId="1" fillId="0" borderId="0" xfId="1" applyAlignment="1">
      <alignment horizontal="left" wrapText="1"/>
    </xf>
    <xf numFmtId="0" fontId="1" fillId="0" borderId="0" xfId="5" applyFont="1" applyAlignment="1" applyProtection="1">
      <alignment vertical="top" wrapText="1"/>
    </xf>
    <xf numFmtId="0" fontId="1" fillId="0" borderId="21" xfId="1" applyBorder="1" applyAlignment="1">
      <alignment horizontal="center" vertical="center"/>
    </xf>
    <xf numFmtId="0" fontId="1" fillId="0" borderId="19" xfId="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37" fillId="0" borderId="0" xfId="0" applyFont="1" applyAlignment="1">
      <alignment horizontal="left" vertical="top" wrapText="1" indent="3"/>
    </xf>
    <xf numFmtId="0" fontId="37" fillId="0" borderId="0" xfId="0" applyFont="1" applyAlignment="1">
      <alignment horizontal="left" vertical="top" wrapText="1" indent="10"/>
    </xf>
    <xf numFmtId="0" fontId="37" fillId="0" borderId="0" xfId="0" applyFont="1" applyAlignment="1">
      <alignment horizontal="left" vertical="top" wrapText="1"/>
    </xf>
    <xf numFmtId="0" fontId="37" fillId="0" borderId="1" xfId="0" applyFont="1" applyBorder="1" applyAlignment="1" applyProtection="1">
      <alignment horizontal="left" wrapText="1"/>
      <protection locked="0"/>
    </xf>
    <xf numFmtId="0" fontId="8" fillId="0" borderId="0" xfId="0" applyFont="1"/>
    <xf numFmtId="0" fontId="9" fillId="0" borderId="0" xfId="0" applyFont="1"/>
    <xf numFmtId="0" fontId="37" fillId="0" borderId="0" xfId="0" applyFont="1"/>
    <xf numFmtId="0" fontId="37" fillId="0" borderId="0" xfId="0" applyFont="1" applyAlignment="1">
      <alignment horizontal="left" vertical="top" indent="6"/>
    </xf>
    <xf numFmtId="0" fontId="37" fillId="0" borderId="0" xfId="0" applyFont="1" applyAlignment="1">
      <alignment horizontal="left" vertical="center" wrapText="1"/>
    </xf>
    <xf numFmtId="0" fontId="19" fillId="0" borderId="0" xfId="0" applyFont="1" applyAlignment="1">
      <alignment horizontal="left" vertical="top" wrapText="1"/>
    </xf>
    <xf numFmtId="0" fontId="19" fillId="0" borderId="2" xfId="0" applyFont="1" applyBorder="1" applyAlignment="1">
      <alignment horizontal="left" vertical="top" wrapText="1"/>
    </xf>
    <xf numFmtId="0" fontId="37" fillId="0" borderId="2" xfId="0" applyFont="1" applyBorder="1" applyAlignment="1">
      <alignment horizontal="left" vertical="top" wrapText="1"/>
    </xf>
    <xf numFmtId="0" fontId="37" fillId="0" borderId="3" xfId="0" applyFont="1" applyBorder="1" applyAlignment="1">
      <alignment horizontal="left" vertical="top" wrapText="1"/>
    </xf>
    <xf numFmtId="0" fontId="9" fillId="0" borderId="2" xfId="0" applyFont="1" applyBorder="1" applyAlignment="1">
      <alignment horizontal="left" vertical="top" wrapText="1"/>
    </xf>
    <xf numFmtId="0" fontId="60" fillId="0" borderId="0" xfId="0" applyFont="1" applyAlignment="1">
      <alignment horizontal="left" indent="1"/>
    </xf>
    <xf numFmtId="0" fontId="61" fillId="0" borderId="0" xfId="0" applyFont="1" applyAlignment="1">
      <alignment horizontal="left"/>
    </xf>
    <xf numFmtId="0" fontId="61" fillId="0" borderId="0" xfId="0" applyFont="1" applyAlignment="1">
      <alignment horizontal="left" indent="12"/>
    </xf>
    <xf numFmtId="0" fontId="37" fillId="0" borderId="4" xfId="0" applyFont="1" applyBorder="1" applyAlignment="1">
      <alignment horizontal="left" vertical="top" wrapText="1"/>
    </xf>
    <xf numFmtId="0" fontId="37" fillId="0" borderId="9" xfId="0" applyFont="1" applyBorder="1" applyAlignment="1">
      <alignment horizontal="left"/>
    </xf>
    <xf numFmtId="0" fontId="37" fillId="0" borderId="10" xfId="0" applyFont="1" applyBorder="1" applyAlignment="1">
      <alignment horizontal="left"/>
    </xf>
    <xf numFmtId="0" fontId="37" fillId="0" borderId="4" xfId="0" applyFont="1" applyBorder="1"/>
    <xf numFmtId="0" fontId="37" fillId="0" borderId="5" xfId="0" applyFont="1" applyBorder="1" applyAlignment="1">
      <alignment horizontal="left" vertical="top" wrapText="1"/>
    </xf>
    <xf numFmtId="0" fontId="37" fillId="0" borderId="6" xfId="0" applyFont="1" applyBorder="1" applyAlignment="1">
      <alignment horizontal="left" vertical="top" wrapText="1"/>
    </xf>
    <xf numFmtId="0" fontId="8" fillId="0" borderId="0" xfId="0" applyFont="1" applyAlignment="1">
      <alignment horizontal="left" vertical="top" wrapText="1"/>
    </xf>
    <xf numFmtId="0" fontId="8" fillId="3" borderId="4" xfId="0" applyFont="1" applyFill="1" applyBorder="1" applyAlignment="1">
      <alignment horizontal="center" vertical="top" wrapText="1"/>
    </xf>
    <xf numFmtId="0" fontId="19" fillId="3" borderId="4" xfId="0" applyFont="1" applyFill="1" applyBorder="1" applyAlignment="1">
      <alignment horizontal="center" vertical="top" wrapText="1"/>
    </xf>
    <xf numFmtId="0" fontId="37" fillId="0" borderId="4" xfId="0" applyFont="1" applyBorder="1" applyAlignment="1">
      <alignment horizontal="left" vertical="center"/>
    </xf>
    <xf numFmtId="0" fontId="37" fillId="0" borderId="0" xfId="0" applyFont="1" applyAlignment="1">
      <alignment horizontal="left" vertical="top" wrapText="1" indent="2"/>
    </xf>
    <xf numFmtId="0" fontId="37" fillId="0" borderId="1" xfId="0" applyFont="1" applyBorder="1" applyAlignment="1" applyProtection="1">
      <alignment horizontal="center" wrapText="1"/>
      <protection locked="0"/>
    </xf>
    <xf numFmtId="0" fontId="19" fillId="0" borderId="0" xfId="0" applyFont="1" applyAlignment="1">
      <alignment vertical="center" wrapText="1"/>
    </xf>
    <xf numFmtId="0" fontId="37" fillId="0" borderId="0" xfId="0" applyFont="1" applyAlignment="1">
      <alignment vertical="center" wrapText="1"/>
    </xf>
    <xf numFmtId="0" fontId="8" fillId="0" borderId="2" xfId="0" applyFont="1" applyBorder="1"/>
    <xf numFmtId="0" fontId="37" fillId="0" borderId="3" xfId="0" applyFont="1" applyBorder="1"/>
    <xf numFmtId="0" fontId="37" fillId="0" borderId="20" xfId="0" applyFont="1" applyBorder="1"/>
    <xf numFmtId="0" fontId="8" fillId="0" borderId="0" xfId="0" applyFont="1" applyAlignment="1">
      <alignment horizontal="left" vertical="center" wrapText="1"/>
    </xf>
    <xf numFmtId="0" fontId="63" fillId="0" borderId="0" xfId="0" applyFont="1" applyAlignment="1">
      <alignment horizontal="left" vertical="center" wrapText="1"/>
    </xf>
    <xf numFmtId="0" fontId="60" fillId="0" borderId="0" xfId="0" applyFont="1" applyAlignment="1">
      <alignment horizontal="left"/>
    </xf>
    <xf numFmtId="0" fontId="62" fillId="0" borderId="0" xfId="0" applyFont="1" applyAlignment="1">
      <alignment horizontal="left"/>
    </xf>
    <xf numFmtId="0" fontId="19" fillId="0" borderId="0" xfId="0" applyFont="1" applyAlignment="1">
      <alignment horizontal="center"/>
    </xf>
    <xf numFmtId="0" fontId="37" fillId="0" borderId="4" xfId="0" applyFont="1" applyBorder="1" applyAlignment="1" applyProtection="1">
      <alignment horizontal="center" vertical="center"/>
      <protection locked="0"/>
    </xf>
    <xf numFmtId="0" fontId="9"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horizontal="left" vertical="top" wrapText="1" indent="1"/>
    </xf>
    <xf numFmtId="0" fontId="37" fillId="0" borderId="0" xfId="0" applyFont="1" applyAlignment="1">
      <alignment horizontal="left" wrapText="1" indent="1"/>
    </xf>
    <xf numFmtId="0" fontId="37" fillId="0" borderId="1" xfId="0" applyFont="1" applyBorder="1" applyAlignment="1" applyProtection="1">
      <alignment horizontal="left"/>
      <protection locked="0"/>
    </xf>
    <xf numFmtId="0" fontId="61" fillId="0" borderId="0" xfId="0" applyFont="1" applyAlignment="1">
      <alignment horizontal="left" vertical="center" wrapText="1"/>
    </xf>
    <xf numFmtId="0" fontId="62" fillId="0" borderId="0" xfId="0" applyFont="1" applyAlignment="1">
      <alignment horizontal="left" vertical="center" wrapText="1"/>
    </xf>
    <xf numFmtId="0" fontId="19" fillId="0" borderId="0" xfId="0" applyFont="1" applyAlignment="1">
      <alignment horizontal="left" vertical="center" wrapText="1"/>
    </xf>
    <xf numFmtId="0" fontId="9" fillId="0" borderId="0" xfId="0" applyFont="1" applyAlignment="1">
      <alignment vertical="top" wrapText="1"/>
    </xf>
    <xf numFmtId="0" fontId="37" fillId="0" borderId="9" xfId="0" applyFont="1" applyBorder="1" applyAlignment="1" applyProtection="1">
      <alignment horizontal="left" vertical="top" wrapText="1"/>
      <protection locked="0"/>
    </xf>
    <xf numFmtId="0" fontId="37" fillId="0" borderId="8" xfId="0" applyFont="1" applyBorder="1" applyAlignment="1" applyProtection="1">
      <alignment horizontal="left" vertical="top" wrapText="1"/>
      <protection locked="0"/>
    </xf>
    <xf numFmtId="0" fontId="37" fillId="0" borderId="10" xfId="0" applyFont="1" applyBorder="1" applyAlignment="1" applyProtection="1">
      <alignment horizontal="left" vertical="top" wrapText="1"/>
      <protection locked="0"/>
    </xf>
    <xf numFmtId="0" fontId="37" fillId="0" borderId="14" xfId="0" applyFont="1" applyBorder="1" applyAlignment="1" applyProtection="1">
      <alignment horizontal="left" vertical="top" wrapText="1"/>
      <protection locked="0"/>
    </xf>
    <xf numFmtId="0" fontId="37" fillId="0" borderId="1" xfId="0" applyFont="1" applyBorder="1" applyAlignment="1" applyProtection="1">
      <alignment horizontal="left" vertical="top" wrapText="1"/>
      <protection locked="0"/>
    </xf>
    <xf numFmtId="0" fontId="37" fillId="0" borderId="15" xfId="0" applyFont="1" applyBorder="1" applyAlignment="1" applyProtection="1">
      <alignment horizontal="left" vertical="top" wrapText="1"/>
      <protection locked="0"/>
    </xf>
    <xf numFmtId="0" fontId="43" fillId="0" borderId="0" xfId="0" applyFont="1" applyAlignment="1">
      <alignment horizontal="left" vertical="center" wrapText="1" indent="1"/>
    </xf>
    <xf numFmtId="0" fontId="43" fillId="0" borderId="4" xfId="0" applyFont="1" applyBorder="1"/>
    <xf numFmtId="0" fontId="44" fillId="0" borderId="0" xfId="0" applyFont="1"/>
    <xf numFmtId="0" fontId="43" fillId="0" borderId="0" xfId="0" applyFont="1"/>
    <xf numFmtId="0" fontId="42" fillId="0" borderId="0" xfId="0" applyFont="1" applyAlignment="1">
      <alignment horizontal="left" indent="1"/>
    </xf>
    <xf numFmtId="0" fontId="2" fillId="0" borderId="0" xfId="0" applyFont="1" applyAlignment="1">
      <alignment vertical="top" wrapText="1"/>
    </xf>
    <xf numFmtId="0" fontId="37" fillId="0" borderId="0" xfId="0" applyFont="1" applyAlignment="1">
      <alignment vertical="top" wrapText="1"/>
    </xf>
    <xf numFmtId="0" fontId="19" fillId="0" borderId="0" xfId="0" applyFont="1" applyAlignment="1">
      <alignment vertical="top" wrapText="1"/>
    </xf>
    <xf numFmtId="0" fontId="37" fillId="0" borderId="0" xfId="0" applyFont="1" applyAlignment="1">
      <alignment vertical="top"/>
    </xf>
    <xf numFmtId="0" fontId="9" fillId="0" borderId="0" xfId="0" applyFont="1" applyAlignment="1">
      <alignment horizontal="left" indent="1"/>
    </xf>
    <xf numFmtId="0" fontId="37" fillId="0" borderId="0" xfId="0" applyFont="1" applyAlignment="1">
      <alignment horizontal="left" indent="1"/>
    </xf>
    <xf numFmtId="0" fontId="56" fillId="0" borderId="0" xfId="0" applyFont="1" applyAlignment="1">
      <alignment vertical="top" wrapText="1"/>
    </xf>
    <xf numFmtId="0" fontId="37" fillId="0" borderId="9" xfId="0" applyFont="1" applyBorder="1" applyAlignment="1" applyProtection="1">
      <alignment horizontal="left" vertical="center" indent="1"/>
      <protection locked="0"/>
    </xf>
    <xf numFmtId="0" fontId="37" fillId="0" borderId="8" xfId="0" applyFont="1" applyBorder="1" applyAlignment="1" applyProtection="1">
      <alignment horizontal="left" vertical="center" indent="1"/>
      <protection locked="0"/>
    </xf>
    <xf numFmtId="0" fontId="37" fillId="0" borderId="10" xfId="0" applyFont="1" applyBorder="1" applyAlignment="1" applyProtection="1">
      <alignment horizontal="left" vertical="center" indent="1"/>
      <protection locked="0"/>
    </xf>
    <xf numFmtId="0" fontId="37" fillId="0" borderId="14" xfId="0" applyFont="1" applyBorder="1" applyAlignment="1" applyProtection="1">
      <alignment horizontal="left" vertical="center" indent="1"/>
      <protection locked="0"/>
    </xf>
    <xf numFmtId="0" fontId="37" fillId="0" borderId="1" xfId="0" applyFont="1" applyBorder="1" applyAlignment="1" applyProtection="1">
      <alignment horizontal="left" vertical="center" indent="1"/>
      <protection locked="0"/>
    </xf>
    <xf numFmtId="0" fontId="37" fillId="0" borderId="15" xfId="0" applyFont="1" applyBorder="1" applyAlignment="1" applyProtection="1">
      <alignment horizontal="left" vertical="center" indent="1"/>
      <protection locked="0"/>
    </xf>
    <xf numFmtId="0" fontId="37" fillId="0" borderId="2" xfId="0" applyFont="1" applyBorder="1" applyAlignment="1">
      <alignment vertical="center" wrapText="1"/>
    </xf>
    <xf numFmtId="0" fontId="37" fillId="0" borderId="3" xfId="0" applyFont="1" applyBorder="1" applyAlignment="1">
      <alignment vertical="center" wrapText="1"/>
    </xf>
    <xf numFmtId="0" fontId="37" fillId="0" borderId="20" xfId="0" applyFont="1" applyBorder="1" applyAlignment="1">
      <alignment vertical="center" wrapText="1"/>
    </xf>
    <xf numFmtId="0" fontId="37" fillId="2" borderId="21" xfId="0" applyFont="1" applyFill="1" applyBorder="1" applyAlignment="1">
      <alignment horizontal="center" vertical="top" wrapText="1"/>
    </xf>
    <xf numFmtId="0" fontId="37" fillId="2" borderId="19" xfId="0" applyFont="1" applyFill="1" applyBorder="1" applyAlignment="1">
      <alignment horizontal="center" vertical="top" wrapText="1"/>
    </xf>
    <xf numFmtId="0" fontId="8" fillId="0" borderId="5"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6" xfId="0" applyFont="1" applyBorder="1" applyAlignment="1">
      <alignment vertical="center" wrapText="1"/>
    </xf>
    <xf numFmtId="0" fontId="37" fillId="0" borderId="7" xfId="0" applyFont="1" applyBorder="1" applyAlignment="1">
      <alignment vertical="center" wrapText="1"/>
    </xf>
    <xf numFmtId="0" fontId="43" fillId="0" borderId="5" xfId="0" applyFont="1" applyBorder="1"/>
    <xf numFmtId="0" fontId="43" fillId="0" borderId="6" xfId="0" applyFont="1" applyBorder="1"/>
    <xf numFmtId="0" fontId="43" fillId="0" borderId="7" xfId="0" applyFont="1" applyBorder="1"/>
    <xf numFmtId="0" fontId="42" fillId="0" borderId="5" xfId="0" applyFont="1" applyBorder="1"/>
    <xf numFmtId="0" fontId="2" fillId="0" borderId="0" xfId="0" applyFont="1" applyAlignment="1">
      <alignment horizontal="left" vertical="top" wrapText="1"/>
    </xf>
    <xf numFmtId="0" fontId="43" fillId="0" borderId="0" xfId="0" applyFont="1" applyAlignment="1">
      <alignment horizontal="left" vertical="top" wrapText="1"/>
    </xf>
    <xf numFmtId="0" fontId="43" fillId="0" borderId="0" xfId="0" applyFont="1" applyAlignment="1">
      <alignment horizontal="left" vertical="center" wrapText="1"/>
    </xf>
    <xf numFmtId="0" fontId="43" fillId="0" borderId="0" xfId="0" applyFont="1" applyAlignment="1">
      <alignment horizontal="left" vertical="center"/>
    </xf>
    <xf numFmtId="0" fontId="43" fillId="0" borderId="0" xfId="0" applyFont="1" applyAlignment="1">
      <alignment horizontal="left"/>
    </xf>
    <xf numFmtId="0" fontId="2" fillId="3" borderId="4" xfId="0" applyFont="1" applyFill="1" applyBorder="1" applyAlignment="1">
      <alignment horizontal="center"/>
    </xf>
    <xf numFmtId="0" fontId="43" fillId="0" borderId="4" xfId="0" applyFont="1" applyBorder="1" applyAlignment="1">
      <alignment vertical="center"/>
    </xf>
    <xf numFmtId="0" fontId="56" fillId="0" borderId="0" xfId="0" applyFont="1" applyAlignment="1">
      <alignment horizontal="left" vertical="center" wrapText="1"/>
    </xf>
    <xf numFmtId="0" fontId="43" fillId="0" borderId="5" xfId="0" applyFont="1" applyBorder="1" applyAlignment="1">
      <alignment horizontal="left" vertical="top" wrapText="1"/>
    </xf>
    <xf numFmtId="0" fontId="43" fillId="0" borderId="6" xfId="0" applyFont="1" applyBorder="1" applyAlignment="1">
      <alignment horizontal="left" vertical="top" wrapText="1"/>
    </xf>
    <xf numFmtId="0" fontId="43" fillId="0" borderId="7" xfId="0" applyFont="1" applyBorder="1" applyAlignment="1">
      <alignment horizontal="left" vertical="top" wrapText="1"/>
    </xf>
    <xf numFmtId="0" fontId="2" fillId="2" borderId="0" xfId="0" applyFont="1" applyFill="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top"/>
    </xf>
    <xf numFmtId="0" fontId="43" fillId="0" borderId="0" xfId="0" applyFont="1" applyAlignment="1">
      <alignment horizontal="left" vertical="top"/>
    </xf>
    <xf numFmtId="0" fontId="43" fillId="0" borderId="0" xfId="0" applyFont="1" applyAlignment="1">
      <alignment wrapText="1"/>
    </xf>
    <xf numFmtId="0" fontId="1" fillId="0" borderId="0" xfId="1" applyAlignment="1">
      <alignment vertical="top" wrapText="1"/>
    </xf>
    <xf numFmtId="0" fontId="1" fillId="0" borderId="0" xfId="1" applyAlignment="1">
      <alignment horizontal="left" vertical="top"/>
    </xf>
    <xf numFmtId="0" fontId="30" fillId="0" borderId="1" xfId="5" applyBorder="1" applyAlignment="1" applyProtection="1">
      <alignment horizontal="center"/>
      <protection locked="0"/>
    </xf>
    <xf numFmtId="0" fontId="14" fillId="0" borderId="0" xfId="1" applyFont="1" applyAlignment="1">
      <alignment vertical="center" wrapText="1"/>
    </xf>
    <xf numFmtId="0" fontId="6" fillId="0" borderId="0" xfId="1" applyFont="1"/>
    <xf numFmtId="0" fontId="1" fillId="0" borderId="0" xfId="1" applyAlignment="1">
      <alignment horizontal="left" indent="2"/>
    </xf>
    <xf numFmtId="0" fontId="1" fillId="0" borderId="2" xfId="1" applyBorder="1" applyAlignment="1">
      <alignment horizontal="left" indent="2"/>
    </xf>
    <xf numFmtId="0" fontId="34" fillId="0" borderId="2" xfId="1" applyFont="1" applyBorder="1" applyAlignment="1">
      <alignment vertical="top" wrapText="1"/>
    </xf>
    <xf numFmtId="0" fontId="1" fillId="0" borderId="3" xfId="1" applyBorder="1" applyAlignment="1">
      <alignment vertical="top" wrapText="1"/>
    </xf>
    <xf numFmtId="0" fontId="1" fillId="0" borderId="2" xfId="1" applyBorder="1" applyAlignment="1">
      <alignment vertical="top" wrapText="1"/>
    </xf>
    <xf numFmtId="0" fontId="33" fillId="0" borderId="15" xfId="1" applyFont="1" applyBorder="1" applyAlignment="1">
      <alignment vertical="center" wrapText="1"/>
    </xf>
    <xf numFmtId="0" fontId="14" fillId="0" borderId="19" xfId="1" applyFont="1" applyBorder="1" applyAlignment="1">
      <alignment wrapText="1"/>
    </xf>
    <xf numFmtId="0" fontId="14" fillId="0" borderId="7" xfId="1" applyFont="1" applyBorder="1" applyAlignment="1">
      <alignment wrapText="1"/>
    </xf>
    <xf numFmtId="0" fontId="14" fillId="0" borderId="4" xfId="1" applyFont="1" applyBorder="1" applyAlignment="1">
      <alignment wrapText="1"/>
    </xf>
    <xf numFmtId="0" fontId="14" fillId="0" borderId="10" xfId="1" applyFont="1" applyBorder="1" applyAlignment="1">
      <alignment wrapText="1"/>
    </xf>
    <xf numFmtId="0" fontId="14" fillId="0" borderId="21" xfId="1" applyFont="1" applyBorder="1" applyAlignment="1">
      <alignment wrapText="1"/>
    </xf>
    <xf numFmtId="0" fontId="1" fillId="0" borderId="2" xfId="1" applyBorder="1" applyAlignment="1">
      <alignment horizontal="left" vertical="top" wrapText="1"/>
    </xf>
    <xf numFmtId="0" fontId="19" fillId="0" borderId="0" xfId="1" applyFont="1" applyAlignment="1">
      <alignment horizontal="left" vertical="top"/>
    </xf>
    <xf numFmtId="0" fontId="4" fillId="0" borderId="1" xfId="1" applyFont="1" applyBorder="1" applyAlignment="1">
      <alignment horizontal="center" vertical="center"/>
    </xf>
    <xf numFmtId="0" fontId="1" fillId="0" borderId="3" xfId="1" applyBorder="1" applyAlignment="1">
      <alignment horizontal="left" vertical="top" wrapText="1"/>
    </xf>
    <xf numFmtId="0" fontId="1" fillId="0" borderId="20" xfId="1" applyBorder="1" applyAlignment="1">
      <alignment horizontal="left" vertical="top" wrapText="1"/>
    </xf>
    <xf numFmtId="49" fontId="1" fillId="0" borderId="1" xfId="1" applyNumberFormat="1" applyBorder="1" applyAlignment="1" applyProtection="1">
      <alignment horizontal="left" wrapText="1"/>
      <protection locked="0"/>
    </xf>
    <xf numFmtId="0" fontId="1" fillId="0" borderId="0" xfId="1" applyAlignment="1">
      <alignment horizontal="left" vertical="center"/>
    </xf>
    <xf numFmtId="0" fontId="1" fillId="0" borderId="0" xfId="1" applyAlignment="1">
      <alignment horizontal="left" vertical="center" wrapText="1" indent="3"/>
    </xf>
    <xf numFmtId="0" fontId="1" fillId="0" borderId="5" xfId="1" applyBorder="1" applyAlignment="1" applyProtection="1">
      <alignment horizontal="center" vertical="center"/>
      <protection locked="0"/>
    </xf>
    <xf numFmtId="0" fontId="46" fillId="0" borderId="0" xfId="1" applyFont="1" applyAlignment="1">
      <alignment vertical="top" wrapText="1"/>
    </xf>
    <xf numFmtId="0" fontId="4" fillId="0" borderId="0" xfId="1" applyFont="1" applyAlignment="1">
      <alignment horizontal="center" vertical="center"/>
    </xf>
    <xf numFmtId="0" fontId="1" fillId="0" borderId="4" xfId="1" applyBorder="1" applyAlignment="1" applyProtection="1">
      <alignment horizontal="center" vertical="center"/>
      <protection locked="0"/>
    </xf>
    <xf numFmtId="0" fontId="1" fillId="0" borderId="21" xfId="1" applyBorder="1" applyAlignment="1" applyProtection="1">
      <alignment horizontal="center" vertical="center" wrapText="1"/>
      <protection locked="0"/>
    </xf>
    <xf numFmtId="0" fontId="1" fillId="0" borderId="3" xfId="1" applyBorder="1" applyAlignment="1" applyProtection="1">
      <alignment horizontal="center" vertical="center" wrapText="1"/>
      <protection locked="0"/>
    </xf>
    <xf numFmtId="0" fontId="1" fillId="0" borderId="19" xfId="1" applyBorder="1" applyAlignment="1" applyProtection="1">
      <alignment horizontal="center" vertical="center" wrapText="1"/>
      <protection locked="0"/>
    </xf>
    <xf numFmtId="0" fontId="1" fillId="0" borderId="4" xfId="1" applyBorder="1" applyAlignment="1" applyProtection="1">
      <alignment horizontal="center" vertical="center" wrapText="1"/>
      <protection locked="0"/>
    </xf>
    <xf numFmtId="0" fontId="1" fillId="0" borderId="21"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19" xfId="1" applyBorder="1" applyAlignment="1" applyProtection="1">
      <alignment horizontal="center" vertical="center"/>
      <protection locked="0"/>
    </xf>
    <xf numFmtId="0" fontId="14" fillId="0" borderId="1" xfId="1" applyFont="1" applyBorder="1" applyAlignment="1" applyProtection="1">
      <alignment horizontal="left" wrapText="1"/>
      <protection locked="0"/>
    </xf>
    <xf numFmtId="0" fontId="1" fillId="0" borderId="1" xfId="1" applyBorder="1" applyProtection="1">
      <protection locked="0"/>
    </xf>
    <xf numFmtId="0" fontId="1" fillId="0" borderId="5" xfId="1" applyBorder="1" applyAlignment="1" applyProtection="1">
      <alignment horizontal="center" vertical="center" wrapText="1"/>
      <protection locked="0"/>
    </xf>
    <xf numFmtId="0" fontId="1" fillId="0" borderId="7" xfId="1" applyBorder="1" applyAlignment="1" applyProtection="1">
      <alignment horizontal="center" vertical="center" wrapText="1"/>
      <protection locked="0"/>
    </xf>
    <xf numFmtId="0" fontId="4" fillId="0" borderId="0" xfId="1" applyFont="1" applyAlignment="1">
      <alignment horizontal="left" vertical="top" wrapText="1"/>
    </xf>
    <xf numFmtId="0" fontId="35" fillId="3" borderId="5" xfId="1" applyFont="1" applyFill="1" applyBorder="1" applyAlignment="1">
      <alignment horizontal="center" vertical="center" wrapText="1"/>
    </xf>
    <xf numFmtId="0" fontId="35" fillId="3" borderId="7" xfId="1" applyFont="1" applyFill="1" applyBorder="1" applyAlignment="1">
      <alignment horizontal="center" vertical="center" wrapText="1"/>
    </xf>
    <xf numFmtId="0" fontId="4" fillId="0" borderId="1" xfId="1" applyFont="1" applyBorder="1" applyAlignment="1">
      <alignment horizontal="left" vertical="top" wrapText="1"/>
    </xf>
    <xf numFmtId="0" fontId="1" fillId="0" borderId="1" xfId="1" applyBorder="1" applyAlignment="1">
      <alignment horizontal="left" vertical="top" wrapText="1"/>
    </xf>
    <xf numFmtId="0" fontId="1" fillId="0" borderId="1" xfId="1" applyBorder="1" applyAlignment="1">
      <alignment wrapText="1"/>
    </xf>
    <xf numFmtId="0" fontId="55" fillId="0" borderId="1" xfId="1" applyFont="1" applyBorder="1" applyAlignment="1">
      <alignment horizontal="left" vertical="top" wrapText="1"/>
    </xf>
    <xf numFmtId="0" fontId="55" fillId="0" borderId="1" xfId="1" applyFont="1" applyBorder="1" applyAlignment="1">
      <alignment wrapText="1"/>
    </xf>
    <xf numFmtId="0" fontId="1" fillId="3" borderId="4" xfId="1" applyFill="1" applyBorder="1"/>
    <xf numFmtId="0" fontId="1" fillId="0" borderId="4" xfId="1" applyBorder="1" applyAlignment="1">
      <alignment horizontal="left" vertical="top" wrapText="1"/>
    </xf>
    <xf numFmtId="0" fontId="1" fillId="0" borderId="4" xfId="1" applyBorder="1"/>
    <xf numFmtId="0" fontId="6" fillId="0" borderId="0" xfId="1" applyFont="1" applyAlignment="1">
      <alignment horizontal="left" vertical="top" wrapText="1"/>
    </xf>
    <xf numFmtId="0" fontId="5" fillId="0" borderId="0" xfId="1" applyFont="1" applyAlignment="1">
      <alignment horizontal="left" vertical="top" wrapText="1"/>
    </xf>
    <xf numFmtId="0" fontId="1" fillId="0" borderId="0" xfId="1" applyAlignment="1">
      <alignment horizontal="left" vertical="top" wrapText="1" indent="3"/>
    </xf>
    <xf numFmtId="0" fontId="46" fillId="0" borderId="0" xfId="1" applyFont="1" applyAlignment="1">
      <alignment horizontal="center" vertical="top" wrapText="1"/>
    </xf>
    <xf numFmtId="0" fontId="5" fillId="4" borderId="2" xfId="1" applyFont="1" applyFill="1" applyBorder="1" applyAlignment="1">
      <alignment horizontal="left" vertical="top" wrapText="1"/>
    </xf>
    <xf numFmtId="0" fontId="1" fillId="4" borderId="3" xfId="1" applyFill="1" applyBorder="1" applyAlignment="1">
      <alignment horizontal="left" vertical="top" wrapText="1"/>
    </xf>
    <xf numFmtId="0" fontId="1" fillId="0" borderId="0" xfId="1" applyAlignment="1">
      <alignment horizontal="left" vertical="top" wrapText="1" indent="2"/>
    </xf>
    <xf numFmtId="0" fontId="1" fillId="0" borderId="0" xfId="1" applyAlignment="1">
      <alignment horizontal="left"/>
    </xf>
    <xf numFmtId="14" fontId="1" fillId="0" borderId="1" xfId="1" applyNumberFormat="1" applyBorder="1" applyAlignment="1" applyProtection="1">
      <alignment horizontal="left" wrapText="1"/>
      <protection locked="0"/>
    </xf>
    <xf numFmtId="0" fontId="55" fillId="0" borderId="0" xfId="1" applyFont="1" applyAlignment="1">
      <alignment horizontal="left" vertical="top" wrapText="1"/>
    </xf>
    <xf numFmtId="0" fontId="3" fillId="0" borderId="0" xfId="1" applyFont="1" applyAlignment="1">
      <alignment horizontal="left" vertical="top"/>
    </xf>
    <xf numFmtId="0" fontId="6" fillId="0" borderId="0" xfId="1" applyFont="1" applyAlignment="1">
      <alignment horizontal="left" vertical="top" wrapText="1" indent="3"/>
    </xf>
    <xf numFmtId="0" fontId="7" fillId="0" borderId="0" xfId="1" applyFont="1" applyAlignment="1">
      <alignment horizontal="left" vertical="top" wrapText="1"/>
    </xf>
    <xf numFmtId="0" fontId="8" fillId="0" borderId="0" xfId="1" applyFont="1" applyAlignment="1">
      <alignment horizontal="left" vertical="top" wrapText="1"/>
    </xf>
    <xf numFmtId="0" fontId="9" fillId="0" borderId="0" xfId="1" applyFont="1" applyAlignment="1">
      <alignment horizontal="left" vertical="top" wrapText="1"/>
    </xf>
    <xf numFmtId="0" fontId="5" fillId="0" borderId="0" xfId="1" applyFont="1" applyAlignment="1">
      <alignment horizontal="center" vertical="top" wrapText="1"/>
    </xf>
    <xf numFmtId="0" fontId="1" fillId="3" borderId="5" xfId="1" applyFill="1" applyBorder="1"/>
    <xf numFmtId="0" fontId="1" fillId="3" borderId="6" xfId="1" applyFill="1" applyBorder="1"/>
    <xf numFmtId="0" fontId="1" fillId="3" borderId="7" xfId="1" applyFill="1" applyBorder="1"/>
    <xf numFmtId="0" fontId="4" fillId="0" borderId="5" xfId="1" applyFont="1" applyBorder="1" applyAlignment="1">
      <alignment horizontal="left" vertical="top" wrapText="1" indent="2"/>
    </xf>
    <xf numFmtId="0" fontId="4" fillId="0" borderId="6" xfId="1" applyFont="1" applyBorder="1" applyAlignment="1">
      <alignment horizontal="left" vertical="top" wrapText="1" indent="2"/>
    </xf>
    <xf numFmtId="0" fontId="4" fillId="0" borderId="7" xfId="1" applyFont="1" applyBorder="1" applyAlignment="1">
      <alignment horizontal="left" vertical="top" wrapText="1" indent="2"/>
    </xf>
    <xf numFmtId="0" fontId="1" fillId="0" borderId="5" xfId="1" applyBorder="1" applyAlignment="1">
      <alignment horizontal="left" vertical="top" wrapText="1" indent="2"/>
    </xf>
    <xf numFmtId="0" fontId="1" fillId="0" borderId="6" xfId="1" applyBorder="1" applyAlignment="1">
      <alignment horizontal="left" vertical="top" wrapText="1" indent="2"/>
    </xf>
    <xf numFmtId="0" fontId="1" fillId="0" borderId="7" xfId="1" applyBorder="1" applyAlignment="1">
      <alignment horizontal="left" vertical="top" wrapText="1" indent="2"/>
    </xf>
    <xf numFmtId="0" fontId="4" fillId="0" borderId="5" xfId="1" applyFont="1" applyBorder="1" applyAlignment="1">
      <alignment horizontal="left" vertical="top" wrapText="1"/>
    </xf>
    <xf numFmtId="0" fontId="4" fillId="0" borderId="6" xfId="1" applyFont="1" applyBorder="1" applyAlignment="1">
      <alignment horizontal="left" vertical="top" wrapText="1"/>
    </xf>
    <xf numFmtId="0" fontId="4" fillId="0" borderId="7" xfId="1" applyFont="1" applyBorder="1" applyAlignment="1">
      <alignment horizontal="left" vertical="top" wrapText="1"/>
    </xf>
    <xf numFmtId="0" fontId="5" fillId="0" borderId="2" xfId="1" applyFont="1" applyBorder="1" applyAlignment="1">
      <alignment horizontal="left" vertical="top" wrapText="1"/>
    </xf>
    <xf numFmtId="0" fontId="1" fillId="0" borderId="0" xfId="1" applyAlignment="1">
      <alignment horizontal="left" vertical="center" indent="1"/>
    </xf>
    <xf numFmtId="0" fontId="1" fillId="0" borderId="0" xfId="1" applyAlignment="1">
      <alignment horizontal="left" vertical="top" indent="1"/>
    </xf>
    <xf numFmtId="0" fontId="12" fillId="0" borderId="0" xfId="1" applyFont="1" applyAlignment="1">
      <alignment horizontal="left" vertical="top" wrapText="1"/>
    </xf>
    <xf numFmtId="0" fontId="1" fillId="0" borderId="5" xfId="1" applyBorder="1" applyAlignment="1">
      <alignment horizontal="left" vertical="top" wrapText="1"/>
    </xf>
    <xf numFmtId="0" fontId="1" fillId="0" borderId="6" xfId="1" applyBorder="1" applyAlignment="1">
      <alignment horizontal="left" vertical="top" wrapText="1"/>
    </xf>
    <xf numFmtId="0" fontId="1" fillId="0" borderId="7" xfId="1" applyBorder="1" applyAlignment="1">
      <alignment horizontal="left" vertical="top" wrapText="1"/>
    </xf>
    <xf numFmtId="0" fontId="5" fillId="0" borderId="0" xfId="1" applyFont="1" applyAlignment="1">
      <alignment horizontal="left" wrapText="1"/>
    </xf>
    <xf numFmtId="0" fontId="6" fillId="0" borderId="0" xfId="1" applyFont="1" applyAlignment="1">
      <alignment horizontal="left" wrapText="1"/>
    </xf>
    <xf numFmtId="0" fontId="7" fillId="0" borderId="1" xfId="1" applyFont="1" applyBorder="1" applyAlignment="1">
      <alignment horizontal="left" vertical="top" wrapText="1"/>
    </xf>
    <xf numFmtId="0" fontId="6" fillId="0" borderId="0" xfId="1" applyFont="1" applyAlignment="1">
      <alignment wrapText="1"/>
    </xf>
    <xf numFmtId="0" fontId="4" fillId="0" borderId="2" xfId="1" applyFont="1" applyBorder="1" applyAlignment="1">
      <alignment horizontal="center" vertical="center"/>
    </xf>
    <xf numFmtId="0" fontId="4" fillId="3" borderId="9" xfId="1" applyFont="1" applyFill="1" applyBorder="1" applyAlignment="1">
      <alignment horizontal="center" vertical="center" wrapText="1"/>
    </xf>
    <xf numFmtId="0" fontId="4" fillId="3" borderId="10" xfId="1" applyFont="1" applyFill="1" applyBorder="1" applyAlignment="1">
      <alignment horizontal="center" vertical="center" wrapText="1"/>
    </xf>
    <xf numFmtId="0" fontId="4" fillId="3" borderId="14" xfId="1" applyFont="1" applyFill="1" applyBorder="1" applyAlignment="1">
      <alignment horizontal="center" vertical="center" wrapText="1"/>
    </xf>
    <xf numFmtId="0" fontId="4" fillId="3" borderId="15" xfId="1" applyFont="1" applyFill="1" applyBorder="1" applyAlignment="1">
      <alignment horizontal="center" vertical="center" wrapText="1"/>
    </xf>
    <xf numFmtId="0" fontId="4" fillId="3" borderId="11" xfId="1" applyFont="1" applyFill="1" applyBorder="1" applyAlignment="1">
      <alignment horizontal="center" vertical="center" wrapText="1"/>
    </xf>
    <xf numFmtId="0" fontId="4" fillId="3" borderId="16" xfId="1" applyFont="1" applyFill="1" applyBorder="1" applyAlignment="1">
      <alignment horizontal="center" vertical="center" wrapText="1"/>
    </xf>
    <xf numFmtId="0" fontId="4" fillId="3" borderId="12" xfId="1" applyFont="1" applyFill="1" applyBorder="1" applyAlignment="1">
      <alignment horizontal="center" vertical="center" wrapText="1"/>
    </xf>
    <xf numFmtId="0" fontId="4" fillId="3" borderId="17" xfId="1" applyFont="1" applyFill="1" applyBorder="1" applyAlignment="1">
      <alignment horizontal="center" vertical="center" wrapText="1"/>
    </xf>
    <xf numFmtId="0" fontId="4" fillId="3" borderId="13" xfId="1" applyFont="1" applyFill="1" applyBorder="1" applyAlignment="1">
      <alignment horizontal="center" vertical="center" wrapText="1"/>
    </xf>
    <xf numFmtId="0" fontId="4" fillId="3" borderId="18" xfId="1" applyFont="1" applyFill="1" applyBorder="1" applyAlignment="1">
      <alignment horizontal="center" vertical="center" wrapText="1"/>
    </xf>
    <xf numFmtId="0" fontId="4" fillId="0" borderId="2" xfId="1" applyFont="1" applyBorder="1" applyAlignment="1">
      <alignment horizontal="left" vertical="top" wrapText="1"/>
    </xf>
    <xf numFmtId="0" fontId="18" fillId="0" borderId="0" xfId="1" applyFont="1" applyAlignment="1">
      <alignment horizontal="left" vertical="center" wrapText="1"/>
    </xf>
    <xf numFmtId="0" fontId="18" fillId="0" borderId="8" xfId="1" applyFont="1" applyBorder="1" applyAlignment="1">
      <alignment horizontal="left" vertical="center" wrapText="1"/>
    </xf>
    <xf numFmtId="0" fontId="1" fillId="0" borderId="0" xfId="1" applyAlignment="1">
      <alignment horizontal="left" indent="1"/>
    </xf>
    <xf numFmtId="0" fontId="19" fillId="0" borderId="0" xfId="1" applyFont="1" applyAlignment="1">
      <alignment horizontal="left" vertical="top" wrapText="1"/>
    </xf>
    <xf numFmtId="0" fontId="1" fillId="0" borderId="4" xfId="1" applyBorder="1" applyAlignment="1">
      <alignment horizontal="left" vertical="top"/>
    </xf>
    <xf numFmtId="0" fontId="4" fillId="0" borderId="0" xfId="1" applyFont="1" applyAlignment="1">
      <alignment horizontal="left" vertical="top"/>
    </xf>
    <xf numFmtId="0" fontId="1" fillId="0" borderId="4" xfId="1" applyBorder="1" applyAlignment="1" applyProtection="1">
      <alignment horizontal="left" vertical="top" wrapText="1"/>
      <protection locked="0"/>
    </xf>
    <xf numFmtId="0" fontId="4" fillId="0" borderId="5" xfId="1" applyFont="1" applyBorder="1" applyAlignment="1">
      <alignment horizontal="center" vertical="center" wrapText="1"/>
    </xf>
    <xf numFmtId="0" fontId="4" fillId="0" borderId="7" xfId="1" applyFont="1" applyBorder="1" applyAlignment="1">
      <alignment horizontal="center" vertical="center" wrapText="1"/>
    </xf>
    <xf numFmtId="0" fontId="4" fillId="0" borderId="0" xfId="1" applyFont="1" applyAlignment="1">
      <alignment horizontal="left" vertical="center"/>
    </xf>
    <xf numFmtId="0" fontId="4" fillId="0" borderId="1" xfId="1" applyFont="1" applyBorder="1" applyAlignment="1">
      <alignment horizontal="left" vertical="center"/>
    </xf>
    <xf numFmtId="0" fontId="4" fillId="0" borderId="14" xfId="1" applyFont="1" applyBorder="1" applyAlignment="1">
      <alignment horizontal="center" vertical="center" wrapText="1"/>
    </xf>
    <xf numFmtId="0" fontId="4" fillId="0" borderId="15" xfId="1" applyFont="1" applyBorder="1" applyAlignment="1">
      <alignment horizontal="center" vertical="center" wrapText="1"/>
    </xf>
    <xf numFmtId="0" fontId="22" fillId="0" borderId="0" xfId="1" applyFont="1" applyAlignment="1">
      <alignment horizontal="left" vertical="top" wrapText="1"/>
    </xf>
    <xf numFmtId="0" fontId="1" fillId="0" borderId="4" xfId="1" applyBorder="1" applyAlignment="1">
      <alignment vertical="top"/>
    </xf>
    <xf numFmtId="0" fontId="14" fillId="0" borderId="4" xfId="1" applyFont="1" applyBorder="1" applyAlignment="1">
      <alignment vertical="top" wrapText="1"/>
    </xf>
    <xf numFmtId="0" fontId="23" fillId="0" borderId="0" xfId="1" applyFont="1" applyAlignment="1">
      <alignment horizontal="left" vertical="top" wrapText="1"/>
    </xf>
    <xf numFmtId="0" fontId="14" fillId="0" borderId="0" xfId="1" applyFont="1" applyAlignment="1">
      <alignment horizontal="left" vertical="top" wrapText="1"/>
    </xf>
    <xf numFmtId="0" fontId="55" fillId="0" borderId="0" xfId="1" applyFont="1" applyAlignment="1">
      <alignment vertical="top" wrapText="1"/>
    </xf>
    <xf numFmtId="0" fontId="14" fillId="0" borderId="15" xfId="1" applyFont="1" applyBorder="1" applyAlignment="1">
      <alignment vertical="top" wrapText="1"/>
    </xf>
    <xf numFmtId="0" fontId="14" fillId="0" borderId="19" xfId="1" applyFont="1" applyBorder="1" applyAlignment="1">
      <alignment vertical="top" wrapText="1"/>
    </xf>
    <xf numFmtId="0" fontId="14" fillId="0" borderId="14" xfId="1" applyFont="1" applyBorder="1" applyAlignment="1">
      <alignment vertical="top" wrapText="1"/>
    </xf>
    <xf numFmtId="0" fontId="14" fillId="0" borderId="4" xfId="1" applyFont="1" applyBorder="1" applyAlignment="1">
      <alignment vertical="center" wrapText="1"/>
    </xf>
    <xf numFmtId="0" fontId="2" fillId="6" borderId="0" xfId="1" applyFont="1" applyFill="1" applyAlignment="1">
      <alignment horizontal="center" vertical="center"/>
    </xf>
  </cellXfs>
  <cellStyles count="6">
    <cellStyle name="Comma 2" xfId="4" xr:uid="{B6CAD6E2-7127-D840-9860-D3D9F0CD83CB}"/>
    <cellStyle name="Currency 2" xfId="3" xr:uid="{B4701EFC-9B23-4A2E-AEA0-8C4A5EB6BFAC}"/>
    <cellStyle name="Hyperlink" xfId="5" builtinId="8"/>
    <cellStyle name="Normal" xfId="0" builtinId="0"/>
    <cellStyle name="Normal 2" xfId="1" xr:uid="{28BA50E8-F68E-4643-A857-4FD7877C3524}"/>
    <cellStyle name="Percent 2" xfId="2" xr:uid="{893A4954-970B-4D5A-A29C-0C1DF1F3348C}"/>
  </cellStyles>
  <dxfs count="3">
    <dxf>
      <font>
        <color rgb="FF9C0006"/>
      </font>
      <fill>
        <patternFill>
          <bgColor rgb="FFFFC7CE"/>
        </patternFill>
      </fill>
    </dxf>
    <dxf>
      <font>
        <color rgb="FF9C0006"/>
      </font>
      <fill>
        <patternFill>
          <bgColor rgb="FFFFC7CE"/>
        </patternFill>
      </fill>
    </dxf>
    <dxf>
      <fill>
        <patternFill>
          <bgColor them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Radio" firstButton="1" fmlaLink="$C$54" lockText="1" noThreeD="1"/>
</file>

<file path=xl/ctrlProps/ctrlProp10.xml><?xml version="1.0" encoding="utf-8"?>
<formControlPr xmlns="http://schemas.microsoft.com/office/spreadsheetml/2009/9/main" objectType="CheckBox" fmlaLink="$C$88" lockText="1" noThreeD="1"/>
</file>

<file path=xl/ctrlProps/ctrlProp100.xml><?xml version="1.0" encoding="utf-8"?>
<formControlPr xmlns="http://schemas.microsoft.com/office/spreadsheetml/2009/9/main" objectType="Radio" checked="Checked"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firstButton="1" fmlaLink="$H$101" lockText="1" noThreeD="1"/>
</file>

<file path=xl/ctrlProps/ctrlProp103.xml><?xml version="1.0" encoding="utf-8"?>
<formControlPr xmlns="http://schemas.microsoft.com/office/spreadsheetml/2009/9/main" objectType="Radio" checked="Checked" lockText="1" noThreeD="1"/>
</file>

<file path=xl/ctrlProps/ctrlProp104.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fmlaLink="$H$102" lockText="1" noThreeD="1"/>
</file>

<file path=xl/ctrlProps/ctrlProp107.xml><?xml version="1.0" encoding="utf-8"?>
<formControlPr xmlns="http://schemas.microsoft.com/office/spreadsheetml/2009/9/main" objectType="Radio" checked="Checked"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fmlaLink="$C$89" lockText="1" noThreeD="1"/>
</file>

<file path=xl/ctrlProps/ctrlProp110.xml><?xml version="1.0" encoding="utf-8"?>
<formControlPr xmlns="http://schemas.microsoft.com/office/spreadsheetml/2009/9/main" objectType="Radio" firstButton="1" fmlaLink="$H$104"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checked="Checked" lockText="1" noThreeD="1"/>
</file>

<file path=xl/ctrlProps/ctrlProp114.xml><?xml version="1.0" encoding="utf-8"?>
<formControlPr xmlns="http://schemas.microsoft.com/office/spreadsheetml/2009/9/main" objectType="Radio" firstButton="1" fmlaLink="$H$105"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checked="Checked" lockText="1" noThreeD="1"/>
</file>

<file path=xl/ctrlProps/ctrlProp118.xml><?xml version="1.0" encoding="utf-8"?>
<formControlPr xmlns="http://schemas.microsoft.com/office/spreadsheetml/2009/9/main" objectType="Radio" firstButton="1" fmlaLink="$H$107"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fmlaLink="$C$90"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checked="Checked" lockText="1" noThreeD="1"/>
</file>

<file path=xl/ctrlProps/ctrlProp122.xml><?xml version="1.0" encoding="utf-8"?>
<formControlPr xmlns="http://schemas.microsoft.com/office/spreadsheetml/2009/9/main" objectType="Radio" firstButton="1" fmlaLink="$H$109"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checked="Checked" lockText="1" noThreeD="1"/>
</file>

<file path=xl/ctrlProps/ctrlProp126.xml><?xml version="1.0" encoding="utf-8"?>
<formControlPr xmlns="http://schemas.microsoft.com/office/spreadsheetml/2009/9/main" objectType="Radio" firstButton="1" fmlaLink="$H$110"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CheckBox" fmlaLink="$C$80" lockText="1" noThreeD="1"/>
</file>

<file path=xl/ctrlProps/ctrlProp130.xml><?xml version="1.0" encoding="utf-8"?>
<formControlPr xmlns="http://schemas.microsoft.com/office/spreadsheetml/2009/9/main" objectType="Radio" firstButton="1" fmlaLink="$H$111"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checked="Checked"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Radio" firstButton="1" fmlaLink="$H$112"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checked="Checked" lockText="1"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fmlaLink="$C$81" lockText="1" noThreeD="1"/>
</file>

<file path=xl/ctrlProps/ctrlProp140.xml><?xml version="1.0" encoding="utf-8"?>
<formControlPr xmlns="http://schemas.microsoft.com/office/spreadsheetml/2009/9/main" objectType="Radio" firstButton="1" fmlaLink="$H$127"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checked="Checked"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Radio" firstButton="1" fmlaLink="$H$128"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C$82" lockText="1" noThreeD="1"/>
</file>

<file path=xl/ctrlProps/ctrlProp150.xml><?xml version="1.0" encoding="utf-8"?>
<formControlPr xmlns="http://schemas.microsoft.com/office/spreadsheetml/2009/9/main" objectType="Radio" checked="Checked" lockText="1"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Radio" firstButton="1" fmlaLink="$H$129"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checked="Checked" lockText="1"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Radio" firstButton="1" fmlaLink="$G$249"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Radio" firstButton="1" fmlaLink="$H$273"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checked="Checked"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Radio" firstButton="1" fmlaLink="$H$83" lockText="1" noThreeD="1"/>
</file>

<file path=xl/ctrlProps/ctrlProp168.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checked="Checked" firstButton="1" fmlaLink="$C$60" lockText="1" noThreeD="1"/>
</file>

<file path=xl/ctrlProps/ctrlProp170.xml><?xml version="1.0" encoding="utf-8"?>
<formControlPr xmlns="http://schemas.microsoft.com/office/spreadsheetml/2009/9/main" objectType="Radio" lockText="1" noThreeD="1"/>
</file>

<file path=xl/ctrlProps/ctrlProp171.xml><?xml version="1.0" encoding="utf-8"?>
<formControlPr xmlns="http://schemas.microsoft.com/office/spreadsheetml/2009/9/main" objectType="CheckBox" checked="Checked" fmlaLink="C20" lockText="1" noThreeD="1"/>
</file>

<file path=xl/ctrlProps/ctrlProp172.xml><?xml version="1.0" encoding="utf-8"?>
<formControlPr xmlns="http://schemas.microsoft.com/office/spreadsheetml/2009/9/main" objectType="CheckBox" fmlaLink="C21" lockText="1" noThreeD="1"/>
</file>

<file path=xl/ctrlProps/ctrlProp173.xml><?xml version="1.0" encoding="utf-8"?>
<formControlPr xmlns="http://schemas.microsoft.com/office/spreadsheetml/2009/9/main" objectType="CheckBox" checked="Checked" fmlaLink="C22" lockText="1" noThreeD="1"/>
</file>

<file path=xl/ctrlProps/ctrlProp174.xml><?xml version="1.0" encoding="utf-8"?>
<formControlPr xmlns="http://schemas.microsoft.com/office/spreadsheetml/2009/9/main" objectType="CheckBox" fmlaLink="C23" lockText="1" noThreeD="1"/>
</file>

<file path=xl/ctrlProps/ctrlProp175.xml><?xml version="1.0" encoding="utf-8"?>
<formControlPr xmlns="http://schemas.microsoft.com/office/spreadsheetml/2009/9/main" objectType="CheckBox" fmlaLink="H46" lockText="1" noThreeD="1"/>
</file>

<file path=xl/ctrlProps/ctrlProp176.xml><?xml version="1.0" encoding="utf-8"?>
<formControlPr xmlns="http://schemas.microsoft.com/office/spreadsheetml/2009/9/main" objectType="CheckBox" fmlaLink="I46" lockText="1" noThreeD="1"/>
</file>

<file path=xl/ctrlProps/ctrlProp177.xml><?xml version="1.0" encoding="utf-8"?>
<formControlPr xmlns="http://schemas.microsoft.com/office/spreadsheetml/2009/9/main" objectType="CheckBox" fmlaLink="J46" lockText="1" noThreeD="1"/>
</file>

<file path=xl/ctrlProps/ctrlProp178.xml><?xml version="1.0" encoding="utf-8"?>
<formControlPr xmlns="http://schemas.microsoft.com/office/spreadsheetml/2009/9/main" objectType="CheckBox" fmlaLink="K46" lockText="1"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Radio" firstButton="1" fmlaLink="$H$31"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Radio" checked="Checked"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Radio" checked="Checked" firstButton="1" fmlaLink="$H$32" lockText="1" noThreeD="1"/>
</file>

<file path=xl/ctrlProps/ctrlProp187.xml><?xml version="1.0" encoding="utf-8"?>
<formControlPr xmlns="http://schemas.microsoft.com/office/spreadsheetml/2009/9/main" objectType="Radio" lockText="1" noThreeD="1"/>
</file>

<file path=xl/ctrlProps/ctrlProp188.xml><?xml version="1.0" encoding="utf-8"?>
<formControlPr xmlns="http://schemas.microsoft.com/office/spreadsheetml/2009/9/main" objectType="Radio"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Radio" checked="Checked" firstButton="1" fmlaLink="$H$33"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Radio" lockText="1" noThreeD="1"/>
</file>

<file path=xl/ctrlProps/ctrlProp195.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Radio" firstButton="1" fmlaLink="$H$34" lockText="1" noThreeD="1"/>
</file>

<file path=xl/ctrlProps/ctrlProp199.xml><?xml version="1.0" encoding="utf-8"?>
<formControlPr xmlns="http://schemas.microsoft.com/office/spreadsheetml/2009/9/main" objectType="Radio" checked="Checked"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Radio" firstButton="1" fmlaLink="$H$35"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Radio" checked="Checked" lockText="1" noThreeD="1"/>
</file>

<file path=xl/ctrlProps/ctrlProp208.xml><?xml version="1.0" encoding="utf-8"?>
<formControlPr xmlns="http://schemas.microsoft.com/office/spreadsheetml/2009/9/main" objectType="Radio" lockText="1"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checked="Checked" firstButton="1" fmlaLink="$C$66" lockText="1" noThreeD="1"/>
</file>

<file path=xl/ctrlProps/ctrlProp210.xml><?xml version="1.0" encoding="utf-8"?>
<formControlPr xmlns="http://schemas.microsoft.com/office/spreadsheetml/2009/9/main" objectType="Radio" checked="Checked" firstButton="1" fmlaLink="$H$36"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CheckBox" fmlaLink="$C$5" lockText="1" noThreeD="1"/>
</file>

<file path=xl/ctrlProps/ctrlProp216.xml><?xml version="1.0" encoding="utf-8"?>
<formControlPr xmlns="http://schemas.microsoft.com/office/spreadsheetml/2009/9/main" objectType="CheckBox" fmlaLink="$C$6" lockText="1" noThreeD="1"/>
</file>

<file path=xl/ctrlProps/ctrlProp217.xml><?xml version="1.0" encoding="utf-8"?>
<formControlPr xmlns="http://schemas.microsoft.com/office/spreadsheetml/2009/9/main" objectType="CheckBox" checked="Checked" fmlaLink="$C$7" lockText="1" noThreeD="1"/>
</file>

<file path=xl/ctrlProps/ctrlProp218.xml><?xml version="1.0" encoding="utf-8"?>
<formControlPr xmlns="http://schemas.microsoft.com/office/spreadsheetml/2009/9/main" objectType="CheckBox" checked="Checked" fmlaLink="$C$8" lockText="1" noThreeD="1"/>
</file>

<file path=xl/ctrlProps/ctrlProp219.xml><?xml version="1.0" encoding="utf-8"?>
<formControlPr xmlns="http://schemas.microsoft.com/office/spreadsheetml/2009/9/main" objectType="CheckBox" checked="Checked" fmlaLink="$C$9"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CheckBox" fmlaLink="$C$10" lockText="1" noThreeD="1"/>
</file>

<file path=xl/ctrlProps/ctrlProp221.xml><?xml version="1.0" encoding="utf-8"?>
<formControlPr xmlns="http://schemas.microsoft.com/office/spreadsheetml/2009/9/main" objectType="CheckBox" checked="Checked" fmlaLink="$C$11" lockText="1" noThreeD="1"/>
</file>

<file path=xl/ctrlProps/ctrlProp222.xml><?xml version="1.0" encoding="utf-8"?>
<formControlPr xmlns="http://schemas.microsoft.com/office/spreadsheetml/2009/9/main" objectType="CheckBox" fmlaLink="$C$12" lockText="1" noThreeD="1"/>
</file>

<file path=xl/ctrlProps/ctrlProp223.xml><?xml version="1.0" encoding="utf-8"?>
<formControlPr xmlns="http://schemas.microsoft.com/office/spreadsheetml/2009/9/main" objectType="CheckBox" fmlaLink="$C$13" lockText="1" noThreeD="1"/>
</file>

<file path=xl/ctrlProps/ctrlProp224.xml><?xml version="1.0" encoding="utf-8"?>
<formControlPr xmlns="http://schemas.microsoft.com/office/spreadsheetml/2009/9/main" objectType="CheckBox" checked="Checked" fmlaLink="$C$14" lockText="1" noThreeD="1"/>
</file>

<file path=xl/ctrlProps/ctrlProp225.xml><?xml version="1.0" encoding="utf-8"?>
<formControlPr xmlns="http://schemas.microsoft.com/office/spreadsheetml/2009/9/main" objectType="CheckBox" checked="Checked" fmlaLink="$C$15" lockText="1" noThreeD="1"/>
</file>

<file path=xl/ctrlProps/ctrlProp226.xml><?xml version="1.0" encoding="utf-8"?>
<formControlPr xmlns="http://schemas.microsoft.com/office/spreadsheetml/2009/9/main" objectType="CheckBox" checked="Checked" fmlaLink="$C$16" lockText="1" noThreeD="1"/>
</file>

<file path=xl/ctrlProps/ctrlProp227.xml><?xml version="1.0" encoding="utf-8"?>
<formControlPr xmlns="http://schemas.microsoft.com/office/spreadsheetml/2009/9/main" objectType="CheckBox" fmlaLink="$C$17" lockText="1" noThreeD="1"/>
</file>

<file path=xl/ctrlProps/ctrlProp228.xml><?xml version="1.0" encoding="utf-8"?>
<formControlPr xmlns="http://schemas.microsoft.com/office/spreadsheetml/2009/9/main" objectType="CheckBox" checked="Checked" fmlaLink="$C$18" lockText="1" noThreeD="1"/>
</file>

<file path=xl/ctrlProps/ctrlProp229.xml><?xml version="1.0" encoding="utf-8"?>
<formControlPr xmlns="http://schemas.microsoft.com/office/spreadsheetml/2009/9/main" objectType="CheckBox" checked="Checked" fmlaLink="$C$19"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CheckBox" fmlaLink="$C$20" lockText="1" noThreeD="1"/>
</file>

<file path=xl/ctrlProps/ctrlProp231.xml><?xml version="1.0" encoding="utf-8"?>
<formControlPr xmlns="http://schemas.microsoft.com/office/spreadsheetml/2009/9/main" objectType="CheckBox" fmlaLink="$C$21" lockText="1" noThreeD="1"/>
</file>

<file path=xl/ctrlProps/ctrlProp232.xml><?xml version="1.0" encoding="utf-8"?>
<formControlPr xmlns="http://schemas.microsoft.com/office/spreadsheetml/2009/9/main" objectType="CheckBox" fmlaLink="$C$23" lockText="1" noThreeD="1"/>
</file>

<file path=xl/ctrlProps/ctrlProp233.xml><?xml version="1.0" encoding="utf-8"?>
<formControlPr xmlns="http://schemas.microsoft.com/office/spreadsheetml/2009/9/main" objectType="CheckBox" checked="Checked" fmlaLink="$C$28" noThreeD="1"/>
</file>

<file path=xl/ctrlProps/ctrlProp234.xml><?xml version="1.0" encoding="utf-8"?>
<formControlPr xmlns="http://schemas.microsoft.com/office/spreadsheetml/2009/9/main" objectType="CheckBox" fmlaLink="$C$30" lockText="1" noThreeD="1"/>
</file>

<file path=xl/ctrlProps/ctrlProp235.xml><?xml version="1.0" encoding="utf-8"?>
<formControlPr xmlns="http://schemas.microsoft.com/office/spreadsheetml/2009/9/main" objectType="CheckBox" fmlaLink="$C$31" lockText="1" noThreeD="1"/>
</file>

<file path=xl/ctrlProps/ctrlProp236.xml><?xml version="1.0" encoding="utf-8"?>
<formControlPr xmlns="http://schemas.microsoft.com/office/spreadsheetml/2009/9/main" objectType="CheckBox" checked="Checked" fmlaLink="$C$32" lockText="1" noThreeD="1"/>
</file>

<file path=xl/ctrlProps/ctrlProp237.xml><?xml version="1.0" encoding="utf-8"?>
<formControlPr xmlns="http://schemas.microsoft.com/office/spreadsheetml/2009/9/main" objectType="CheckBox" fmlaLink="$C$33" lockText="1" noThreeD="1"/>
</file>

<file path=xl/ctrlProps/ctrlProp238.xml><?xml version="1.0" encoding="utf-8"?>
<formControlPr xmlns="http://schemas.microsoft.com/office/spreadsheetml/2009/9/main" objectType="CheckBox" checked="Checked" fmlaLink="$C$34" lockText="1" noThreeD="1"/>
</file>

<file path=xl/ctrlProps/ctrlProp239.xml><?xml version="1.0" encoding="utf-8"?>
<formControlPr xmlns="http://schemas.microsoft.com/office/spreadsheetml/2009/9/main" objectType="CheckBox" fmlaLink="$C$36" lockText="1"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CheckBox" fmlaLink="$C$37" lockText="1" noThreeD="1"/>
</file>

<file path=xl/ctrlProps/ctrlProp241.xml><?xml version="1.0" encoding="utf-8"?>
<formControlPr xmlns="http://schemas.microsoft.com/office/spreadsheetml/2009/9/main" objectType="CheckBox" fmlaLink="$C$39" lockText="1" noThreeD="1"/>
</file>

<file path=xl/ctrlProps/ctrlProp242.xml><?xml version="1.0" encoding="utf-8"?>
<formControlPr xmlns="http://schemas.microsoft.com/office/spreadsheetml/2009/9/main" objectType="CheckBox" checked="Checked" fmlaLink="$C$40" lockText="1" noThreeD="1"/>
</file>

<file path=xl/ctrlProps/ctrlProp243.xml><?xml version="1.0" encoding="utf-8"?>
<formControlPr xmlns="http://schemas.microsoft.com/office/spreadsheetml/2009/9/main" objectType="CheckBox" checked="Checked" fmlaLink="$C$41" lockText="1" noThreeD="1"/>
</file>

<file path=xl/ctrlProps/ctrlProp244.xml><?xml version="1.0" encoding="utf-8"?>
<formControlPr xmlns="http://schemas.microsoft.com/office/spreadsheetml/2009/9/main" objectType="CheckBox" checked="Checked" fmlaLink="$C$22" lockText="1" noThreeD="1"/>
</file>

<file path=xl/ctrlProps/ctrlProp245.xml><?xml version="1.0" encoding="utf-8"?>
<formControlPr xmlns="http://schemas.microsoft.com/office/spreadsheetml/2009/9/main" objectType="CheckBox" checked="Checked" fmlaLink="$C$35" lockText="1" noThreeD="1"/>
</file>

<file path=xl/ctrlProps/ctrlProp246.xml><?xml version="1.0" encoding="utf-8"?>
<formControlPr xmlns="http://schemas.microsoft.com/office/spreadsheetml/2009/9/main" objectType="CheckBox" fmlaLink="$C$38" lockText="1" noThreeD="1"/>
</file>

<file path=xl/ctrlProps/ctrlProp247.xml><?xml version="1.0" encoding="utf-8"?>
<formControlPr xmlns="http://schemas.microsoft.com/office/spreadsheetml/2009/9/main" objectType="CheckBox" fmlaLink="$C$29" lockText="1" noThreeD="1"/>
</file>

<file path=xl/ctrlProps/ctrlProp248.xml><?xml version="1.0" encoding="utf-8"?>
<formControlPr xmlns="http://schemas.microsoft.com/office/spreadsheetml/2009/9/main" objectType="CheckBox" checked="Checked" fmlaLink="D16" lockText="1" noThreeD="1"/>
</file>

<file path=xl/ctrlProps/ctrlProp249.xml><?xml version="1.0" encoding="utf-8"?>
<formControlPr xmlns="http://schemas.microsoft.com/office/spreadsheetml/2009/9/main" objectType="CheckBox" checked="Checked" fmlaLink="D17"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CheckBox" checked="Checked" fmlaLink="D18" lockText="1" noThreeD="1"/>
</file>

<file path=xl/ctrlProps/ctrlProp251.xml><?xml version="1.0" encoding="utf-8"?>
<formControlPr xmlns="http://schemas.microsoft.com/office/spreadsheetml/2009/9/main" objectType="CheckBox" checked="Checked" fmlaLink="D19" lockText="1" noThreeD="1"/>
</file>

<file path=xl/ctrlProps/ctrlProp252.xml><?xml version="1.0" encoding="utf-8"?>
<formControlPr xmlns="http://schemas.microsoft.com/office/spreadsheetml/2009/9/main" objectType="CheckBox" checked="Checked" fmlaLink="D20" lockText="1" noThreeD="1"/>
</file>

<file path=xl/ctrlProps/ctrlProp253.xml><?xml version="1.0" encoding="utf-8"?>
<formControlPr xmlns="http://schemas.microsoft.com/office/spreadsheetml/2009/9/main" objectType="CheckBox" checked="Checked" fmlaLink="D21" lockText="1" noThreeD="1"/>
</file>

<file path=xl/ctrlProps/ctrlProp254.xml><?xml version="1.0" encoding="utf-8"?>
<formControlPr xmlns="http://schemas.microsoft.com/office/spreadsheetml/2009/9/main" objectType="CheckBox" checked="Checked" fmlaLink="D22" lockText="1" noThreeD="1"/>
</file>

<file path=xl/ctrlProps/ctrlProp255.xml><?xml version="1.0" encoding="utf-8"?>
<formControlPr xmlns="http://schemas.microsoft.com/office/spreadsheetml/2009/9/main" objectType="CheckBox" checked="Checked" fmlaLink="D23" lockText="1" noThreeD="1"/>
</file>

<file path=xl/ctrlProps/ctrlProp256.xml><?xml version="1.0" encoding="utf-8"?>
<formControlPr xmlns="http://schemas.microsoft.com/office/spreadsheetml/2009/9/main" objectType="CheckBox" fmlaLink="D24" lockText="1" noThreeD="1"/>
</file>

<file path=xl/ctrlProps/ctrlProp257.xml><?xml version="1.0" encoding="utf-8"?>
<formControlPr xmlns="http://schemas.microsoft.com/office/spreadsheetml/2009/9/main" objectType="CheckBox" checked="Checked" fmlaLink="D25" lockText="1" noThreeD="1"/>
</file>

<file path=xl/ctrlProps/ctrlProp258.xml><?xml version="1.0" encoding="utf-8"?>
<formControlPr xmlns="http://schemas.microsoft.com/office/spreadsheetml/2009/9/main" objectType="CheckBox" checked="Checked" fmlaLink="D26" lockText="1" noThreeD="1"/>
</file>

<file path=xl/ctrlProps/ctrlProp259.xml><?xml version="1.0" encoding="utf-8"?>
<formControlPr xmlns="http://schemas.microsoft.com/office/spreadsheetml/2009/9/main" objectType="CheckBox" checked="Checked" fmlaLink="D27" lockText="1"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CheckBox" fmlaLink="D28" lockText="1" noThreeD="1"/>
</file>

<file path=xl/ctrlProps/ctrlProp261.xml><?xml version="1.0" encoding="utf-8"?>
<formControlPr xmlns="http://schemas.microsoft.com/office/spreadsheetml/2009/9/main" objectType="CheckBox" fmlaLink="D29" lockText="1" noThreeD="1"/>
</file>

<file path=xl/ctrlProps/ctrlProp262.xml><?xml version="1.0" encoding="utf-8"?>
<formControlPr xmlns="http://schemas.microsoft.com/office/spreadsheetml/2009/9/main" objectType="CheckBox" checked="Checked" fmlaLink="D30" lockText="1" noThreeD="1"/>
</file>

<file path=xl/ctrlProps/ctrlProp263.xml><?xml version="1.0" encoding="utf-8"?>
<formControlPr xmlns="http://schemas.microsoft.com/office/spreadsheetml/2009/9/main" objectType="CheckBox" checked="Checked" fmlaLink="D31" lockText="1" noThreeD="1"/>
</file>

<file path=xl/ctrlProps/ctrlProp264.xml><?xml version="1.0" encoding="utf-8"?>
<formControlPr xmlns="http://schemas.microsoft.com/office/spreadsheetml/2009/9/main" objectType="CheckBox" checked="Checked" fmlaLink="D32" lockText="1" noThreeD="1"/>
</file>

<file path=xl/ctrlProps/ctrlProp265.xml><?xml version="1.0" encoding="utf-8"?>
<formControlPr xmlns="http://schemas.microsoft.com/office/spreadsheetml/2009/9/main" objectType="CheckBox" fmlaLink="D33" lockText="1" noThreeD="1"/>
</file>

<file path=xl/ctrlProps/ctrlProp266.xml><?xml version="1.0" encoding="utf-8"?>
<formControlPr xmlns="http://schemas.microsoft.com/office/spreadsheetml/2009/9/main" objectType="CheckBox" fmlaLink="D34" lockText="1" noThreeD="1"/>
</file>

<file path=xl/ctrlProps/ctrlProp267.xml><?xml version="1.0" encoding="utf-8"?>
<formControlPr xmlns="http://schemas.microsoft.com/office/spreadsheetml/2009/9/main" objectType="CheckBox" fmlaLink="D35" lockText="1" noThreeD="1"/>
</file>

<file path=xl/ctrlProps/ctrlProp268.xml><?xml version="1.0" encoding="utf-8"?>
<formControlPr xmlns="http://schemas.microsoft.com/office/spreadsheetml/2009/9/main" objectType="CheckBox" fmlaLink="D36" lockText="1" noThreeD="1"/>
</file>

<file path=xl/ctrlProps/ctrlProp269.xml><?xml version="1.0" encoding="utf-8"?>
<formControlPr xmlns="http://schemas.microsoft.com/office/spreadsheetml/2009/9/main" objectType="CheckBox" fmlaLink="I40" lockText="1" noThreeD="1"/>
</file>

<file path=xl/ctrlProps/ctrlProp27.xml><?xml version="1.0" encoding="utf-8"?>
<formControlPr xmlns="http://schemas.microsoft.com/office/spreadsheetml/2009/9/main" objectType="Radio" lockText="1" noThreeD="1"/>
</file>

<file path=xl/ctrlProps/ctrlProp270.xml><?xml version="1.0" encoding="utf-8"?>
<formControlPr xmlns="http://schemas.microsoft.com/office/spreadsheetml/2009/9/main" objectType="CheckBox" fmlaLink="I41" lockText="1" noThreeD="1"/>
</file>

<file path=xl/ctrlProps/ctrlProp271.xml><?xml version="1.0" encoding="utf-8"?>
<formControlPr xmlns="http://schemas.microsoft.com/office/spreadsheetml/2009/9/main" objectType="CheckBox" fmlaLink="I42" lockText="1" noThreeD="1"/>
</file>

<file path=xl/ctrlProps/ctrlProp272.xml><?xml version="1.0" encoding="utf-8"?>
<formControlPr xmlns="http://schemas.microsoft.com/office/spreadsheetml/2009/9/main" objectType="CheckBox" fmlaLink="J40" lockText="1" noThreeD="1"/>
</file>

<file path=xl/ctrlProps/ctrlProp273.xml><?xml version="1.0" encoding="utf-8"?>
<formControlPr xmlns="http://schemas.microsoft.com/office/spreadsheetml/2009/9/main" objectType="CheckBox" fmlaLink="J41" lockText="1" noThreeD="1"/>
</file>

<file path=xl/ctrlProps/ctrlProp274.xml><?xml version="1.0" encoding="utf-8"?>
<formControlPr xmlns="http://schemas.microsoft.com/office/spreadsheetml/2009/9/main" objectType="CheckBox" fmlaLink="J42" lockText="1" noThreeD="1"/>
</file>

<file path=xl/ctrlProps/ctrlProp275.xml><?xml version="1.0" encoding="utf-8"?>
<formControlPr xmlns="http://schemas.microsoft.com/office/spreadsheetml/2009/9/main" objectType="CheckBox" checked="Checked" fmlaLink="D46" lockText="1" noThreeD="1"/>
</file>

<file path=xl/ctrlProps/ctrlProp276.xml><?xml version="1.0" encoding="utf-8"?>
<formControlPr xmlns="http://schemas.microsoft.com/office/spreadsheetml/2009/9/main" objectType="CheckBox" fmlaLink="D47" lockText="1" noThreeD="1"/>
</file>

<file path=xl/ctrlProps/ctrlProp277.xml><?xml version="1.0" encoding="utf-8"?>
<formControlPr xmlns="http://schemas.microsoft.com/office/spreadsheetml/2009/9/main" objectType="CheckBox" fmlaLink="D48" lockText="1" noThreeD="1"/>
</file>

<file path=xl/ctrlProps/ctrlProp278.xml><?xml version="1.0" encoding="utf-8"?>
<formControlPr xmlns="http://schemas.microsoft.com/office/spreadsheetml/2009/9/main" objectType="CheckBox" fmlaLink="D49" lockText="1" noThreeD="1"/>
</file>

<file path=xl/ctrlProps/ctrlProp279.xml><?xml version="1.0" encoding="utf-8"?>
<formControlPr xmlns="http://schemas.microsoft.com/office/spreadsheetml/2009/9/main" objectType="CheckBox" checked="Checked" fmlaLink="D50" lockText="1" noThreeD="1"/>
</file>

<file path=xl/ctrlProps/ctrlProp28.xml><?xml version="1.0" encoding="utf-8"?>
<formControlPr xmlns="http://schemas.microsoft.com/office/spreadsheetml/2009/9/main" objectType="Drop" dropStyle="combo" dx="15" fmlaLink="G60" fmlaRange="F60:F62" noThreeD="1" sel="3" val="0"/>
</file>

<file path=xl/ctrlProps/ctrlProp280.xml><?xml version="1.0" encoding="utf-8"?>
<formControlPr xmlns="http://schemas.microsoft.com/office/spreadsheetml/2009/9/main" objectType="CheckBox" checked="Checked" fmlaLink="D51" lockText="1" noThreeD="1"/>
</file>

<file path=xl/ctrlProps/ctrlProp281.xml><?xml version="1.0" encoding="utf-8"?>
<formControlPr xmlns="http://schemas.microsoft.com/office/spreadsheetml/2009/9/main" objectType="CheckBox" fmlaLink="D52" lockText="1" noThreeD="1"/>
</file>

<file path=xl/ctrlProps/ctrlProp282.xml><?xml version="1.0" encoding="utf-8"?>
<formControlPr xmlns="http://schemas.microsoft.com/office/spreadsheetml/2009/9/main" objectType="CheckBox" fmlaLink="D53" lockText="1" noThreeD="1"/>
</file>

<file path=xl/ctrlProps/ctrlProp283.xml><?xml version="1.0" encoding="utf-8"?>
<formControlPr xmlns="http://schemas.microsoft.com/office/spreadsheetml/2009/9/main" objectType="CheckBox" fmlaLink="D55" lockText="1" noThreeD="1"/>
</file>

<file path=xl/ctrlProps/ctrlProp284.xml><?xml version="1.0" encoding="utf-8"?>
<formControlPr xmlns="http://schemas.microsoft.com/office/spreadsheetml/2009/9/main" objectType="CheckBox" checked="Checked" fmlaLink="D56" lockText="1" noThreeD="1"/>
</file>

<file path=xl/ctrlProps/ctrlProp285.xml><?xml version="1.0" encoding="utf-8"?>
<formControlPr xmlns="http://schemas.microsoft.com/office/spreadsheetml/2009/9/main" objectType="CheckBox" checked="Checked" fmlaLink="D57" lockText="1" noThreeD="1"/>
</file>

<file path=xl/ctrlProps/ctrlProp286.xml><?xml version="1.0" encoding="utf-8"?>
<formControlPr xmlns="http://schemas.microsoft.com/office/spreadsheetml/2009/9/main" objectType="CheckBox" fmlaLink="D58" lockText="1" noThreeD="1"/>
</file>

<file path=xl/ctrlProps/ctrlProp287.xml><?xml version="1.0" encoding="utf-8"?>
<formControlPr xmlns="http://schemas.microsoft.com/office/spreadsheetml/2009/9/main" objectType="CheckBox" fmlaLink="$H$41" lockText="1" noThreeD="1"/>
</file>

<file path=xl/ctrlProps/ctrlProp288.xml><?xml version="1.0" encoding="utf-8"?>
<formControlPr xmlns="http://schemas.microsoft.com/office/spreadsheetml/2009/9/main" objectType="CheckBox" checked="Checked" fmlaLink="$D$54" lockText="1" noThreeD="1"/>
</file>

<file path=xl/ctrlProps/ctrlProp289.xml><?xml version="1.0" encoding="utf-8"?>
<formControlPr xmlns="http://schemas.microsoft.com/office/spreadsheetml/2009/9/main" objectType="CheckBox" checked="Checked" fmlaLink="$F$11" lockText="1" noThreeD="1"/>
</file>

<file path=xl/ctrlProps/ctrlProp29.xml><?xml version="1.0" encoding="utf-8"?>
<formControlPr xmlns="http://schemas.microsoft.com/office/spreadsheetml/2009/9/main" objectType="Drop" dropStyle="combo" dx="15" fmlaLink="G52" fmlaRange="F52:F54" noThreeD="1" sel="1" val="0"/>
</file>

<file path=xl/ctrlProps/ctrlProp290.xml><?xml version="1.0" encoding="utf-8"?>
<formControlPr xmlns="http://schemas.microsoft.com/office/spreadsheetml/2009/9/main" objectType="CheckBox" checked="Checked" fmlaLink="D40" lockText="1" noThreeD="1"/>
</file>

<file path=xl/ctrlProps/ctrlProp291.xml><?xml version="1.0" encoding="utf-8"?>
<formControlPr xmlns="http://schemas.microsoft.com/office/spreadsheetml/2009/9/main" objectType="CheckBox" fmlaLink="D41" lockText="1" noThreeD="1"/>
</file>

<file path=xl/ctrlProps/ctrlProp292.xml><?xml version="1.0" encoding="utf-8"?>
<formControlPr xmlns="http://schemas.microsoft.com/office/spreadsheetml/2009/9/main" objectType="CheckBox" fmlaLink="D42" lockText="1" noThreeD="1"/>
</file>

<file path=xl/ctrlProps/ctrlProp293.xml><?xml version="1.0" encoding="utf-8"?>
<formControlPr xmlns="http://schemas.microsoft.com/office/spreadsheetml/2009/9/main" objectType="CheckBox" checked="Checked" fmlaLink="E133" lockText="1" noThreeD="1"/>
</file>

<file path=xl/ctrlProps/ctrlProp294.xml><?xml version="1.0" encoding="utf-8"?>
<formControlPr xmlns="http://schemas.microsoft.com/office/spreadsheetml/2009/9/main" objectType="CheckBox" fmlaLink="E135" lockText="1" noThreeD="1"/>
</file>

<file path=xl/ctrlProps/ctrlProp295.xml><?xml version="1.0" encoding="utf-8"?>
<formControlPr xmlns="http://schemas.microsoft.com/office/spreadsheetml/2009/9/main" objectType="CheckBox" fmlaLink="E134" lockText="1" noThreeD="1"/>
</file>

<file path=xl/ctrlProps/ctrlProp296.xml><?xml version="1.0" encoding="utf-8"?>
<formControlPr xmlns="http://schemas.microsoft.com/office/spreadsheetml/2009/9/main" objectType="CheckBox" fmlaLink="E136" lockText="1" noThreeD="1"/>
</file>

<file path=xl/ctrlProps/ctrlProp297.xml><?xml version="1.0" encoding="utf-8"?>
<formControlPr xmlns="http://schemas.microsoft.com/office/spreadsheetml/2009/9/main" objectType="CheckBox" fmlaLink="E137" lockText="1" noThreeD="1"/>
</file>

<file path=xl/ctrlProps/ctrlProp298.xml><?xml version="1.0" encoding="utf-8"?>
<formControlPr xmlns="http://schemas.microsoft.com/office/spreadsheetml/2009/9/main" objectType="CheckBox" checked="Checked" fmlaLink="E144" lockText="1" noThreeD="1"/>
</file>

<file path=xl/ctrlProps/ctrlProp299.xml><?xml version="1.0" encoding="utf-8"?>
<formControlPr xmlns="http://schemas.microsoft.com/office/spreadsheetml/2009/9/main" objectType="CheckBox" fmlaLink="E145"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CheckBox" fmlaLink="$G$142" lockText="1" noThreeD="1"/>
</file>

<file path=xl/ctrlProps/ctrlProp300.xml><?xml version="1.0" encoding="utf-8"?>
<formControlPr xmlns="http://schemas.microsoft.com/office/spreadsheetml/2009/9/main" objectType="CheckBox" fmlaLink="E146" lockText="1" noThreeD="1"/>
</file>

<file path=xl/ctrlProps/ctrlProp301.xml><?xml version="1.0" encoding="utf-8"?>
<formControlPr xmlns="http://schemas.microsoft.com/office/spreadsheetml/2009/9/main" objectType="CheckBox" fmlaLink="E147" lockText="1" noThreeD="1"/>
</file>

<file path=xl/ctrlProps/ctrlProp302.xml><?xml version="1.0" encoding="utf-8"?>
<formControlPr xmlns="http://schemas.microsoft.com/office/spreadsheetml/2009/9/main" objectType="CheckBox" fmlaLink="E148" lockText="1" noThreeD="1"/>
</file>

<file path=xl/ctrlProps/ctrlProp303.xml><?xml version="1.0" encoding="utf-8"?>
<formControlPr xmlns="http://schemas.microsoft.com/office/spreadsheetml/2009/9/main" objectType="CheckBox" fmlaLink="E149" lockText="1" noThreeD="1"/>
</file>

<file path=xl/ctrlProps/ctrlProp304.xml><?xml version="1.0" encoding="utf-8"?>
<formControlPr xmlns="http://schemas.microsoft.com/office/spreadsheetml/2009/9/main" objectType="CheckBox" fmlaLink="E150" lockText="1" noThreeD="1"/>
</file>

<file path=xl/ctrlProps/ctrlProp305.xml><?xml version="1.0" encoding="utf-8"?>
<formControlPr xmlns="http://schemas.microsoft.com/office/spreadsheetml/2009/9/main" objectType="CheckBox" fmlaLink="$D$157" lockText="1" noThreeD="1"/>
</file>

<file path=xl/ctrlProps/ctrlProp306.xml><?xml version="1.0" encoding="utf-8"?>
<formControlPr xmlns="http://schemas.microsoft.com/office/spreadsheetml/2009/9/main" objectType="CheckBox" checked="Checked" fmlaLink="$E$179" lockText="1" noThreeD="1"/>
</file>

<file path=xl/ctrlProps/ctrlProp307.xml><?xml version="1.0" encoding="utf-8"?>
<formControlPr xmlns="http://schemas.microsoft.com/office/spreadsheetml/2009/9/main" objectType="CheckBox" checked="Checked" fmlaLink="$E$180" lockText="1" noThreeD="1"/>
</file>

<file path=xl/ctrlProps/ctrlProp308.xml><?xml version="1.0" encoding="utf-8"?>
<formControlPr xmlns="http://schemas.microsoft.com/office/spreadsheetml/2009/9/main" objectType="CheckBox" checked="Checked" fmlaLink="$E$181" lockText="1" noThreeD="1"/>
</file>

<file path=xl/ctrlProps/ctrlProp309.xml><?xml version="1.0" encoding="utf-8"?>
<formControlPr xmlns="http://schemas.microsoft.com/office/spreadsheetml/2009/9/main" objectType="CheckBox" fmlaLink="$E$182" lockText="1" noThreeD="1"/>
</file>

<file path=xl/ctrlProps/ctrlProp31.xml><?xml version="1.0" encoding="utf-8"?>
<formControlPr xmlns="http://schemas.microsoft.com/office/spreadsheetml/2009/9/main" objectType="CheckBox" fmlaLink="$G$143" lockText="1" noThreeD="1"/>
</file>

<file path=xl/ctrlProps/ctrlProp310.xml><?xml version="1.0" encoding="utf-8"?>
<formControlPr xmlns="http://schemas.microsoft.com/office/spreadsheetml/2009/9/main" objectType="CheckBox" fmlaLink="$E$183" lockText="1" noThreeD="1"/>
</file>

<file path=xl/ctrlProps/ctrlProp311.xml><?xml version="1.0" encoding="utf-8"?>
<formControlPr xmlns="http://schemas.microsoft.com/office/spreadsheetml/2009/9/main" objectType="CheckBox" fmlaLink="$E$184" lockText="1" noThreeD="1"/>
</file>

<file path=xl/ctrlProps/ctrlProp312.xml><?xml version="1.0" encoding="utf-8"?>
<formControlPr xmlns="http://schemas.microsoft.com/office/spreadsheetml/2009/9/main" objectType="CheckBox" fmlaLink="$E$185" lockText="1" noThreeD="1"/>
</file>

<file path=xl/ctrlProps/ctrlProp313.xml><?xml version="1.0" encoding="utf-8"?>
<formControlPr xmlns="http://schemas.microsoft.com/office/spreadsheetml/2009/9/main" objectType="CheckBox" fmlaLink="$E$186" lockText="1" noThreeD="1"/>
</file>

<file path=xl/ctrlProps/ctrlProp314.xml><?xml version="1.0" encoding="utf-8"?>
<formControlPr xmlns="http://schemas.microsoft.com/office/spreadsheetml/2009/9/main" objectType="CheckBox" checked="Checked" fmlaLink="$E$191" lockText="1" noThreeD="1"/>
</file>

<file path=xl/ctrlProps/ctrlProp315.xml><?xml version="1.0" encoding="utf-8"?>
<formControlPr xmlns="http://schemas.microsoft.com/office/spreadsheetml/2009/9/main" objectType="CheckBox" checked="Checked" fmlaLink="$E$192" lockText="1" noThreeD="1"/>
</file>

<file path=xl/ctrlProps/ctrlProp316.xml><?xml version="1.0" encoding="utf-8"?>
<formControlPr xmlns="http://schemas.microsoft.com/office/spreadsheetml/2009/9/main" objectType="CheckBox" checked="Checked" fmlaLink="$E$193" lockText="1" noThreeD="1"/>
</file>

<file path=xl/ctrlProps/ctrlProp317.xml><?xml version="1.0" encoding="utf-8"?>
<formControlPr xmlns="http://schemas.microsoft.com/office/spreadsheetml/2009/9/main" objectType="CheckBox" checked="Checked" fmlaLink="$E$194" lockText="1" noThreeD="1"/>
</file>

<file path=xl/ctrlProps/ctrlProp318.xml><?xml version="1.0" encoding="utf-8"?>
<formControlPr xmlns="http://schemas.microsoft.com/office/spreadsheetml/2009/9/main" objectType="CheckBox" checked="Checked" fmlaLink="$E$195" lockText="1" noThreeD="1"/>
</file>

<file path=xl/ctrlProps/ctrlProp319.xml><?xml version="1.0" encoding="utf-8"?>
<formControlPr xmlns="http://schemas.microsoft.com/office/spreadsheetml/2009/9/main" objectType="CheckBox" fmlaLink="$E$196" lockText="1" noThreeD="1"/>
</file>

<file path=xl/ctrlProps/ctrlProp32.xml><?xml version="1.0" encoding="utf-8"?>
<formControlPr xmlns="http://schemas.microsoft.com/office/spreadsheetml/2009/9/main" objectType="CheckBox" fmlaLink="$G$144" lockText="1" noThreeD="1"/>
</file>

<file path=xl/ctrlProps/ctrlProp320.xml><?xml version="1.0" encoding="utf-8"?>
<formControlPr xmlns="http://schemas.microsoft.com/office/spreadsheetml/2009/9/main" objectType="CheckBox" fmlaLink="$E$197" lockText="1" noThreeD="1"/>
</file>

<file path=xl/ctrlProps/ctrlProp321.xml><?xml version="1.0" encoding="utf-8"?>
<formControlPr xmlns="http://schemas.microsoft.com/office/spreadsheetml/2009/9/main" objectType="CheckBox" fmlaLink="$E$198" lockText="1" noThreeD="1"/>
</file>

<file path=xl/ctrlProps/ctrlProp322.xml><?xml version="1.0" encoding="utf-8"?>
<formControlPr xmlns="http://schemas.microsoft.com/office/spreadsheetml/2009/9/main" objectType="CheckBox" checked="Checked" fmlaLink="$F$203" lockText="1" noThreeD="1"/>
</file>

<file path=xl/ctrlProps/ctrlProp323.xml><?xml version="1.0" encoding="utf-8"?>
<formControlPr xmlns="http://schemas.microsoft.com/office/spreadsheetml/2009/9/main" objectType="CheckBox" fmlaLink="$F$204" lockText="1" noThreeD="1"/>
</file>

<file path=xl/ctrlProps/ctrlProp324.xml><?xml version="1.0" encoding="utf-8"?>
<formControlPr xmlns="http://schemas.microsoft.com/office/spreadsheetml/2009/9/main" objectType="CheckBox" checked="Checked" fmlaLink="$F$205" lockText="1" noThreeD="1"/>
</file>

<file path=xl/ctrlProps/ctrlProp325.xml><?xml version="1.0" encoding="utf-8"?>
<formControlPr xmlns="http://schemas.microsoft.com/office/spreadsheetml/2009/9/main" objectType="CheckBox" fmlaLink="$F$206" lockText="1" noThreeD="1"/>
</file>

<file path=xl/ctrlProps/ctrlProp326.xml><?xml version="1.0" encoding="utf-8"?>
<formControlPr xmlns="http://schemas.microsoft.com/office/spreadsheetml/2009/9/main" objectType="CheckBox" fmlaLink="$F$207" lockText="1" noThreeD="1"/>
</file>

<file path=xl/ctrlProps/ctrlProp327.xml><?xml version="1.0" encoding="utf-8"?>
<formControlPr xmlns="http://schemas.microsoft.com/office/spreadsheetml/2009/9/main" objectType="CheckBox" fmlaLink="$F$208" lockText="1" noThreeD="1"/>
</file>

<file path=xl/ctrlProps/ctrlProp328.xml><?xml version="1.0" encoding="utf-8"?>
<formControlPr xmlns="http://schemas.microsoft.com/office/spreadsheetml/2009/9/main" objectType="CheckBox" fmlaLink="$F$209" lockText="1" noThreeD="1"/>
</file>

<file path=xl/ctrlProps/ctrlProp329.xml><?xml version="1.0" encoding="utf-8"?>
<formControlPr xmlns="http://schemas.microsoft.com/office/spreadsheetml/2009/9/main" objectType="CheckBox" checked="Checked" fmlaLink="$F$210" lockText="1" noThreeD="1"/>
</file>

<file path=xl/ctrlProps/ctrlProp33.xml><?xml version="1.0" encoding="utf-8"?>
<formControlPr xmlns="http://schemas.microsoft.com/office/spreadsheetml/2009/9/main" objectType="CheckBox" fmlaLink="$G$145" lockText="1" noThreeD="1"/>
</file>

<file path=xl/ctrlProps/ctrlProp330.xml><?xml version="1.0" encoding="utf-8"?>
<formControlPr xmlns="http://schemas.microsoft.com/office/spreadsheetml/2009/9/main" objectType="CheckBox" checked="Checked" fmlaLink="$F$211" lockText="1" noThreeD="1"/>
</file>

<file path=xl/ctrlProps/ctrlProp331.xml><?xml version="1.0" encoding="utf-8"?>
<formControlPr xmlns="http://schemas.microsoft.com/office/spreadsheetml/2009/9/main" objectType="CheckBox" checked="Checked" fmlaLink="$F$212" lockText="1" noThreeD="1"/>
</file>

<file path=xl/ctrlProps/ctrlProp332.xml><?xml version="1.0" encoding="utf-8"?>
<formControlPr xmlns="http://schemas.microsoft.com/office/spreadsheetml/2009/9/main" objectType="CheckBox" checked="Checked" fmlaLink="$F$213" lockText="1" noThreeD="1"/>
</file>

<file path=xl/ctrlProps/ctrlProp333.xml><?xml version="1.0" encoding="utf-8"?>
<formControlPr xmlns="http://schemas.microsoft.com/office/spreadsheetml/2009/9/main" objectType="CheckBox" checked="Checked" fmlaLink="$XFC$203" lockText="1" noThreeD="1"/>
</file>

<file path=xl/ctrlProps/ctrlProp334.xml><?xml version="1.0" encoding="utf-8"?>
<formControlPr xmlns="http://schemas.microsoft.com/office/spreadsheetml/2009/9/main" objectType="CheckBox" fmlaLink="$XFC$204" lockText="1" noThreeD="1"/>
</file>

<file path=xl/ctrlProps/ctrlProp335.xml><?xml version="1.0" encoding="utf-8"?>
<formControlPr xmlns="http://schemas.microsoft.com/office/spreadsheetml/2009/9/main" objectType="CheckBox" fmlaLink="$XFC$205" lockText="1" noThreeD="1"/>
</file>

<file path=xl/ctrlProps/ctrlProp336.xml><?xml version="1.0" encoding="utf-8"?>
<formControlPr xmlns="http://schemas.microsoft.com/office/spreadsheetml/2009/9/main" objectType="CheckBox" fmlaLink="$XFC$206" lockText="1" noThreeD="1"/>
</file>

<file path=xl/ctrlProps/ctrlProp337.xml><?xml version="1.0" encoding="utf-8"?>
<formControlPr xmlns="http://schemas.microsoft.com/office/spreadsheetml/2009/9/main" objectType="CheckBox" fmlaLink="$XFC$207" lockText="1" noThreeD="1"/>
</file>

<file path=xl/ctrlProps/ctrlProp338.xml><?xml version="1.0" encoding="utf-8"?>
<formControlPr xmlns="http://schemas.microsoft.com/office/spreadsheetml/2009/9/main" objectType="CheckBox" fmlaLink="$XFC$209" lockText="1" noThreeD="1"/>
</file>

<file path=xl/ctrlProps/ctrlProp339.xml><?xml version="1.0" encoding="utf-8"?>
<formControlPr xmlns="http://schemas.microsoft.com/office/spreadsheetml/2009/9/main" objectType="CheckBox" checked="Checked" fmlaLink="$XFC$210" lockText="1" noThreeD="1"/>
</file>

<file path=xl/ctrlProps/ctrlProp34.xml><?xml version="1.0" encoding="utf-8"?>
<formControlPr xmlns="http://schemas.microsoft.com/office/spreadsheetml/2009/9/main" objectType="CheckBox" fmlaLink="$G$146" lockText="1" noThreeD="1"/>
</file>

<file path=xl/ctrlProps/ctrlProp340.xml><?xml version="1.0" encoding="utf-8"?>
<formControlPr xmlns="http://schemas.microsoft.com/office/spreadsheetml/2009/9/main" objectType="CheckBox" fmlaLink="$XFC$211" lockText="1" noThreeD="1"/>
</file>

<file path=xl/ctrlProps/ctrlProp341.xml><?xml version="1.0" encoding="utf-8"?>
<formControlPr xmlns="http://schemas.microsoft.com/office/spreadsheetml/2009/9/main" objectType="CheckBox" fmlaLink="$XFC$212" lockText="1" noThreeD="1"/>
</file>

<file path=xl/ctrlProps/ctrlProp342.xml><?xml version="1.0" encoding="utf-8"?>
<formControlPr xmlns="http://schemas.microsoft.com/office/spreadsheetml/2009/9/main" objectType="CheckBox" checked="Checked" fmlaLink="$XFC$213" lockText="1" noThreeD="1"/>
</file>

<file path=xl/ctrlProps/ctrlProp343.xml><?xml version="1.0" encoding="utf-8"?>
<formControlPr xmlns="http://schemas.microsoft.com/office/spreadsheetml/2009/9/main" objectType="CheckBox" checked="Checked" fmlaLink="$E$121" lockText="1" noThreeD="1"/>
</file>

<file path=xl/ctrlProps/ctrlProp344.xml><?xml version="1.0" encoding="utf-8"?>
<formControlPr xmlns="http://schemas.microsoft.com/office/spreadsheetml/2009/9/main" objectType="CheckBox" fmlaLink="$E$122" lockText="1" noThreeD="1"/>
</file>

<file path=xl/ctrlProps/ctrlProp345.xml><?xml version="1.0" encoding="utf-8"?>
<formControlPr xmlns="http://schemas.microsoft.com/office/spreadsheetml/2009/9/main" objectType="CheckBox" fmlaLink="$E$123" lockText="1" noThreeD="1"/>
</file>

<file path=xl/ctrlProps/ctrlProp35.xml><?xml version="1.0" encoding="utf-8"?>
<formControlPr xmlns="http://schemas.microsoft.com/office/spreadsheetml/2009/9/main" objectType="CheckBox" fmlaLink="$G$147" lockText="1" noThreeD="1"/>
</file>

<file path=xl/ctrlProps/ctrlProp36.xml><?xml version="1.0" encoding="utf-8"?>
<formControlPr xmlns="http://schemas.microsoft.com/office/spreadsheetml/2009/9/main" objectType="CheckBox" fmlaLink="$G$148" lockText="1" noThreeD="1"/>
</file>

<file path=xl/ctrlProps/ctrlProp37.xml><?xml version="1.0" encoding="utf-8"?>
<formControlPr xmlns="http://schemas.microsoft.com/office/spreadsheetml/2009/9/main" objectType="CheckBox" fmlaLink="$G$269" lockText="1" noThreeD="1"/>
</file>

<file path=xl/ctrlProps/ctrlProp38.xml><?xml version="1.0" encoding="utf-8"?>
<formControlPr xmlns="http://schemas.microsoft.com/office/spreadsheetml/2009/9/main" objectType="CheckBox" checked="Checked" fmlaLink="$G$270" lockText="1" noThreeD="1"/>
</file>

<file path=xl/ctrlProps/ctrlProp39.xml><?xml version="1.0" encoding="utf-8"?>
<formControlPr xmlns="http://schemas.microsoft.com/office/spreadsheetml/2009/9/main" objectType="CheckBox" fmlaLink="$G$271" lockText="1" noThreeD="1"/>
</file>

<file path=xl/ctrlProps/ctrlProp4.xml><?xml version="1.0" encoding="utf-8"?>
<formControlPr xmlns="http://schemas.microsoft.com/office/spreadsheetml/2009/9/main" objectType="CheckBox" fmlaLink="$C$79" lockText="1" noThreeD="1"/>
</file>

<file path=xl/ctrlProps/ctrlProp40.xml><?xml version="1.0" encoding="utf-8"?>
<formControlPr xmlns="http://schemas.microsoft.com/office/spreadsheetml/2009/9/main" objectType="Radio" firstButton="1" fmlaLink="$G$285"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checked="Checked" firstButton="1" fmlaLink="$H$93"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fmlaLink="$C$83" lockText="1"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Radio" firstButton="1" fmlaLink="$H$97" lockText="1" noThreeD="1"/>
</file>

<file path=xl/ctrlProps/ctrlProp54.xml><?xml version="1.0" encoding="utf-8"?>
<formControlPr xmlns="http://schemas.microsoft.com/office/spreadsheetml/2009/9/main" objectType="Radio" checked="Checked"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checked="Checked" fmlaLink="$C$84"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Radio" firstButton="1" fmlaLink="$H$100"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checked="Checked"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firstButton="1" fmlaLink="$H$103" lockText="1" noThreeD="1"/>
</file>

<file path=xl/ctrlProps/ctrlProp69.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CheckBox" checked="Checked" fmlaLink="$C$85"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firstButton="1" fmlaLink="$H$106"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checked="Checked" lockText="1"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Radio" firstButton="1" fmlaLink="$H$108" lockText="1" noThreeD="1"/>
</file>

<file path=xl/ctrlProps/ctrlProp8.xml><?xml version="1.0" encoding="utf-8"?>
<formControlPr xmlns="http://schemas.microsoft.com/office/spreadsheetml/2009/9/main" objectType="CheckBox" checked="Checked" fmlaLink="$C$86"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checked="Checked" lockText="1"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Radio" firstButton="1" fmlaLink="$H$94"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checked="Checked"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fmlaLink="$C$87" lockText="1" noThreeD="1"/>
</file>

<file path=xl/ctrlProps/ctrlProp90.xml><?xml version="1.0" encoding="utf-8"?>
<formControlPr xmlns="http://schemas.microsoft.com/office/spreadsheetml/2009/9/main" objectType="Radio" checked="Checked" firstButton="1" fmlaLink="$H$95"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firstButton="1" fmlaLink="$H$96"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checked="Checked"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firstButton="1" fmlaLink="$H$98" lockText="1" noThreeD="1"/>
</file>

<file path=xl/ctrlProps/ctrlProp9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20670</xdr:colOff>
          <xdr:row>53</xdr:row>
          <xdr:rowOff>10880</xdr:rowOff>
        </xdr:from>
        <xdr:to>
          <xdr:col>0</xdr:col>
          <xdr:colOff>267281</xdr:colOff>
          <xdr:row>56</xdr:row>
          <xdr:rowOff>15966</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0670" y="11371607"/>
              <a:ext cx="246611" cy="611223"/>
              <a:chOff x="29521" y="7779796"/>
              <a:chExt cx="249879" cy="239712"/>
            </a:xfrm>
          </xdr:grpSpPr>
          <xdr:sp macro="" textlink="">
            <xdr:nvSpPr>
              <xdr:cNvPr id="13313" name="Option Button 1"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36635" y="7779796"/>
                <a:ext cx="241788" cy="90366"/>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3314" name="Option Button 2" hidden="1">
                <a:extLst>
                  <a:ext uri="{63B3BB69-23CF-44E3-9099-C40C66FF867C}">
                    <a14:compatExt spid="_x0000_s13314"/>
                  </a:ext>
                  <a:ext uri="{FF2B5EF4-FFF2-40B4-BE49-F238E27FC236}">
                    <a16:creationId xmlns:a16="http://schemas.microsoft.com/office/drawing/2014/main" id="{00000000-0008-0000-0100-000002340000}"/>
                  </a:ext>
                </a:extLst>
              </xdr:cNvPr>
              <xdr:cNvSpPr/>
            </xdr:nvSpPr>
            <xdr:spPr bwMode="auto">
              <a:xfrm>
                <a:off x="29521" y="7854977"/>
                <a:ext cx="241300" cy="952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3315" name="Option Button 3"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38100" y="7923283"/>
                <a:ext cx="241300" cy="962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xdr:twoCellAnchor>
    <xdr:from>
      <xdr:col>0</xdr:col>
      <xdr:colOff>5874</xdr:colOff>
      <xdr:row>77</xdr:row>
      <xdr:rowOff>160214</xdr:rowOff>
    </xdr:from>
    <xdr:to>
      <xdr:col>2</xdr:col>
      <xdr:colOff>6390</xdr:colOff>
      <xdr:row>89</xdr:row>
      <xdr:rowOff>150527</xdr:rowOff>
    </xdr:to>
    <xdr:grpSp>
      <xdr:nvGrpSpPr>
        <xdr:cNvPr id="3" name="Group 2">
          <a:extLst>
            <a:ext uri="{FF2B5EF4-FFF2-40B4-BE49-F238E27FC236}">
              <a16:creationId xmlns:a16="http://schemas.microsoft.com/office/drawing/2014/main" id="{00000000-0008-0000-0100-000003000000}"/>
            </a:ext>
          </a:extLst>
        </xdr:cNvPr>
        <xdr:cNvGrpSpPr/>
      </xdr:nvGrpSpPr>
      <xdr:grpSpPr>
        <a:xfrm>
          <a:off x="5874" y="16687532"/>
          <a:ext cx="2846471" cy="2380222"/>
          <a:chOff x="10413" y="11669287"/>
          <a:chExt cx="718038" cy="2045484"/>
        </a:xfrm>
      </xdr:grpSpPr>
      <xdr:sp macro="" textlink="">
        <xdr:nvSpPr>
          <xdr:cNvPr id="4" name="Check Box 76" hidden="1">
            <a:extLst>
              <a:ext uri="{63B3BB69-23CF-44E3-9099-C40C66FF867C}">
                <a14:compatExt xmlns:a14="http://schemas.microsoft.com/office/drawing/2010/main" spid="_x0000_s6220"/>
              </a:ext>
              <a:ext uri="{FF2B5EF4-FFF2-40B4-BE49-F238E27FC236}">
                <a16:creationId xmlns:a16="http://schemas.microsoft.com/office/drawing/2014/main" id="{00000000-0008-0000-0100-000004000000}"/>
              </a:ext>
            </a:extLst>
          </xdr:cNvPr>
          <xdr:cNvSpPr/>
        </xdr:nvSpPr>
        <xdr:spPr bwMode="auto">
          <a:xfrm>
            <a:off x="10413" y="11669287"/>
            <a:ext cx="718038" cy="17474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 name="Check Box 77" hidden="1">
            <a:extLst>
              <a:ext uri="{63B3BB69-23CF-44E3-9099-C40C66FF867C}">
                <a14:compatExt xmlns:a14="http://schemas.microsoft.com/office/drawing/2010/main" spid="_x0000_s6221"/>
              </a:ext>
              <a:ext uri="{FF2B5EF4-FFF2-40B4-BE49-F238E27FC236}">
                <a16:creationId xmlns:a16="http://schemas.microsoft.com/office/drawing/2014/main" id="{00000000-0008-0000-0100-000005000000}"/>
              </a:ext>
            </a:extLst>
          </xdr:cNvPr>
          <xdr:cNvSpPr/>
        </xdr:nvSpPr>
        <xdr:spPr bwMode="auto">
          <a:xfrm>
            <a:off x="10413" y="12319430"/>
            <a:ext cx="170473" cy="1611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 name="Check Box 78" hidden="1">
            <a:extLst>
              <a:ext uri="{63B3BB69-23CF-44E3-9099-C40C66FF867C}">
                <a14:compatExt xmlns:a14="http://schemas.microsoft.com/office/drawing/2010/main" spid="_x0000_s6222"/>
              </a:ext>
              <a:ext uri="{FF2B5EF4-FFF2-40B4-BE49-F238E27FC236}">
                <a16:creationId xmlns:a16="http://schemas.microsoft.com/office/drawing/2014/main" id="{00000000-0008-0000-0100-000006000000}"/>
              </a:ext>
            </a:extLst>
          </xdr:cNvPr>
          <xdr:cNvSpPr/>
        </xdr:nvSpPr>
        <xdr:spPr bwMode="auto">
          <a:xfrm>
            <a:off x="10413" y="12495921"/>
            <a:ext cx="171450" cy="1611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Check Box 79" hidden="1">
            <a:extLst>
              <a:ext uri="{63B3BB69-23CF-44E3-9099-C40C66FF867C}">
                <a14:compatExt xmlns:a14="http://schemas.microsoft.com/office/drawing/2010/main" spid="_x0000_s6223"/>
              </a:ext>
              <a:ext uri="{FF2B5EF4-FFF2-40B4-BE49-F238E27FC236}">
                <a16:creationId xmlns:a16="http://schemas.microsoft.com/office/drawing/2014/main" id="{00000000-0008-0000-0100-000007000000}"/>
              </a:ext>
            </a:extLst>
          </xdr:cNvPr>
          <xdr:cNvSpPr/>
        </xdr:nvSpPr>
        <xdr:spPr bwMode="auto">
          <a:xfrm>
            <a:off x="19940" y="12667313"/>
            <a:ext cx="171450" cy="1611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Check Box 80" hidden="1">
            <a:extLst>
              <a:ext uri="{63B3BB69-23CF-44E3-9099-C40C66FF867C}">
                <a14:compatExt xmlns:a14="http://schemas.microsoft.com/office/drawing/2010/main" spid="_x0000_s6224"/>
              </a:ext>
              <a:ext uri="{FF2B5EF4-FFF2-40B4-BE49-F238E27FC236}">
                <a16:creationId xmlns:a16="http://schemas.microsoft.com/office/drawing/2014/main" id="{00000000-0008-0000-0100-000008000000}"/>
              </a:ext>
            </a:extLst>
          </xdr:cNvPr>
          <xdr:cNvSpPr/>
        </xdr:nvSpPr>
        <xdr:spPr bwMode="auto">
          <a:xfrm>
            <a:off x="18730" y="12843804"/>
            <a:ext cx="171450" cy="1611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 name="Check Box 81" hidden="1">
            <a:extLst>
              <a:ext uri="{63B3BB69-23CF-44E3-9099-C40C66FF867C}">
                <a14:compatExt xmlns:a14="http://schemas.microsoft.com/office/drawing/2010/main" spid="_x0000_s6225"/>
              </a:ext>
              <a:ext uri="{FF2B5EF4-FFF2-40B4-BE49-F238E27FC236}">
                <a16:creationId xmlns:a16="http://schemas.microsoft.com/office/drawing/2014/main" id="{00000000-0008-0000-0100-000009000000}"/>
              </a:ext>
            </a:extLst>
          </xdr:cNvPr>
          <xdr:cNvSpPr/>
        </xdr:nvSpPr>
        <xdr:spPr bwMode="auto">
          <a:xfrm>
            <a:off x="19940" y="13010097"/>
            <a:ext cx="171450" cy="1611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0" name="Check Box 82" hidden="1">
            <a:extLst>
              <a:ext uri="{63B3BB69-23CF-44E3-9099-C40C66FF867C}">
                <a14:compatExt xmlns:a14="http://schemas.microsoft.com/office/drawing/2010/main" spid="_x0000_s6226"/>
              </a:ext>
              <a:ext uri="{FF2B5EF4-FFF2-40B4-BE49-F238E27FC236}">
                <a16:creationId xmlns:a16="http://schemas.microsoft.com/office/drawing/2014/main" id="{00000000-0008-0000-0100-00000A000000}"/>
              </a:ext>
            </a:extLst>
          </xdr:cNvPr>
          <xdr:cNvSpPr/>
        </xdr:nvSpPr>
        <xdr:spPr bwMode="auto">
          <a:xfrm>
            <a:off x="21151" y="13176389"/>
            <a:ext cx="171450" cy="15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1" name="Check Box 83" hidden="1">
            <a:extLst>
              <a:ext uri="{63B3BB69-23CF-44E3-9099-C40C66FF867C}">
                <a14:compatExt xmlns:a14="http://schemas.microsoft.com/office/drawing/2010/main" spid="_x0000_s6227"/>
              </a:ext>
              <a:ext uri="{FF2B5EF4-FFF2-40B4-BE49-F238E27FC236}">
                <a16:creationId xmlns:a16="http://schemas.microsoft.com/office/drawing/2014/main" id="{00000000-0008-0000-0100-00000B000000}"/>
              </a:ext>
            </a:extLst>
          </xdr:cNvPr>
          <xdr:cNvSpPr/>
        </xdr:nvSpPr>
        <xdr:spPr bwMode="auto">
          <a:xfrm>
            <a:off x="22362" y="13362433"/>
            <a:ext cx="171450" cy="15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2" name="Check Box 84" hidden="1">
            <a:extLst>
              <a:ext uri="{63B3BB69-23CF-44E3-9099-C40C66FF867C}">
                <a14:compatExt xmlns:a14="http://schemas.microsoft.com/office/drawing/2010/main" spid="_x0000_s6228"/>
              </a:ext>
              <a:ext uri="{FF2B5EF4-FFF2-40B4-BE49-F238E27FC236}">
                <a16:creationId xmlns:a16="http://schemas.microsoft.com/office/drawing/2014/main" id="{00000000-0008-0000-0100-00000C000000}"/>
              </a:ext>
            </a:extLst>
          </xdr:cNvPr>
          <xdr:cNvSpPr/>
        </xdr:nvSpPr>
        <xdr:spPr bwMode="auto">
          <a:xfrm>
            <a:off x="22362" y="13553579"/>
            <a:ext cx="171450" cy="1611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Check Box 85" hidden="1">
            <a:extLst>
              <a:ext uri="{63B3BB69-23CF-44E3-9099-C40C66FF867C}">
                <a14:compatExt xmlns:a14="http://schemas.microsoft.com/office/drawing/2010/main" spid="_x0000_s6229"/>
              </a:ext>
              <a:ext uri="{FF2B5EF4-FFF2-40B4-BE49-F238E27FC236}">
                <a16:creationId xmlns:a16="http://schemas.microsoft.com/office/drawing/2014/main" id="{00000000-0008-0000-0100-00000D000000}"/>
              </a:ext>
            </a:extLst>
          </xdr:cNvPr>
          <xdr:cNvSpPr/>
        </xdr:nvSpPr>
        <xdr:spPr bwMode="auto">
          <a:xfrm>
            <a:off x="10413" y="11820768"/>
            <a:ext cx="717550" cy="173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 name="Check Box 86" hidden="1">
            <a:extLst>
              <a:ext uri="{63B3BB69-23CF-44E3-9099-C40C66FF867C}">
                <a14:compatExt xmlns:a14="http://schemas.microsoft.com/office/drawing/2010/main" spid="_x0000_s6230"/>
              </a:ext>
              <a:ext uri="{FF2B5EF4-FFF2-40B4-BE49-F238E27FC236}">
                <a16:creationId xmlns:a16="http://schemas.microsoft.com/office/drawing/2014/main" id="{00000000-0008-0000-0100-00000E000000}"/>
              </a:ext>
            </a:extLst>
          </xdr:cNvPr>
          <xdr:cNvSpPr/>
        </xdr:nvSpPr>
        <xdr:spPr bwMode="auto">
          <a:xfrm>
            <a:off x="10413" y="11986844"/>
            <a:ext cx="717550" cy="1738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 name="Check Box 87" hidden="1">
            <a:extLst>
              <a:ext uri="{63B3BB69-23CF-44E3-9099-C40C66FF867C}">
                <a14:compatExt xmlns:a14="http://schemas.microsoft.com/office/drawing/2010/main" spid="_x0000_s6231"/>
              </a:ext>
              <a:ext uri="{FF2B5EF4-FFF2-40B4-BE49-F238E27FC236}">
                <a16:creationId xmlns:a16="http://schemas.microsoft.com/office/drawing/2014/main" id="{00000000-0008-0000-0100-00000F000000}"/>
              </a:ext>
            </a:extLst>
          </xdr:cNvPr>
          <xdr:cNvSpPr/>
        </xdr:nvSpPr>
        <xdr:spPr bwMode="auto">
          <a:xfrm>
            <a:off x="10413" y="12158237"/>
            <a:ext cx="717550" cy="173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0</xdr:col>
      <xdr:colOff>55319</xdr:colOff>
      <xdr:row>80</xdr:row>
      <xdr:rowOff>118176</xdr:rowOff>
    </xdr:from>
    <xdr:to>
      <xdr:col>0</xdr:col>
      <xdr:colOff>282575</xdr:colOff>
      <xdr:row>96</xdr:row>
      <xdr:rowOff>80755</xdr:rowOff>
    </xdr:to>
    <xdr:grpSp>
      <xdr:nvGrpSpPr>
        <xdr:cNvPr id="16" name="Group 90">
          <a:extLst>
            <a:ext uri="{FF2B5EF4-FFF2-40B4-BE49-F238E27FC236}">
              <a16:creationId xmlns:a16="http://schemas.microsoft.com/office/drawing/2014/main" id="{00000000-0008-0000-0100-000010000000}"/>
            </a:ext>
          </a:extLst>
        </xdr:cNvPr>
        <xdr:cNvGrpSpPr>
          <a:grpSpLocks/>
        </xdr:cNvGrpSpPr>
      </xdr:nvGrpSpPr>
      <xdr:grpSpPr bwMode="auto">
        <a:xfrm>
          <a:off x="55319" y="17216994"/>
          <a:ext cx="227256" cy="3264579"/>
          <a:chOff x="-106" y="116537"/>
          <a:chExt cx="700" cy="20432"/>
        </a:xfrm>
      </xdr:grpSpPr>
      <xdr:sp macro="" textlink="">
        <xdr:nvSpPr>
          <xdr:cNvPr id="17" name="Check Box 76" hidden="1">
            <a:extLst>
              <a:ext uri="{63B3BB69-23CF-44E3-9099-C40C66FF867C}">
                <a14:compatExt xmlns:a14="http://schemas.microsoft.com/office/drawing/2010/main" spid="_x0000_s6220"/>
              </a:ext>
              <a:ext uri="{FF2B5EF4-FFF2-40B4-BE49-F238E27FC236}">
                <a16:creationId xmlns:a16="http://schemas.microsoft.com/office/drawing/2014/main" id="{00000000-0008-0000-0100-000011000000}"/>
              </a:ext>
            </a:extLst>
          </xdr:cNvPr>
          <xdr:cNvSpPr/>
        </xdr:nvSpPr>
        <xdr:spPr bwMode="auto">
          <a:xfrm>
            <a:off x="-106" y="116537"/>
            <a:ext cx="696" cy="17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8" name="Check Box 77" descr="&#10;" hidden="1">
            <a:extLst>
              <a:ext uri="{63B3BB69-23CF-44E3-9099-C40C66FF867C}">
                <a14:compatExt xmlns:a14="http://schemas.microsoft.com/office/drawing/2010/main" spid="_x0000_s6221"/>
              </a:ext>
              <a:ext uri="{FF2B5EF4-FFF2-40B4-BE49-F238E27FC236}">
                <a16:creationId xmlns:a16="http://schemas.microsoft.com/office/drawing/2014/main" id="{00000000-0008-0000-0100-000012000000}"/>
              </a:ext>
            </a:extLst>
          </xdr:cNvPr>
          <xdr:cNvSpPr/>
        </xdr:nvSpPr>
        <xdr:spPr bwMode="auto">
          <a:xfrm>
            <a:off x="-106" y="123123"/>
            <a:ext cx="696" cy="17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Check Box 78" hidden="1">
            <a:extLst>
              <a:ext uri="{63B3BB69-23CF-44E3-9099-C40C66FF867C}">
                <a14:compatExt xmlns:a14="http://schemas.microsoft.com/office/drawing/2010/main" spid="_x0000_s6222"/>
              </a:ext>
              <a:ext uri="{FF2B5EF4-FFF2-40B4-BE49-F238E27FC236}">
                <a16:creationId xmlns:a16="http://schemas.microsoft.com/office/drawing/2014/main" id="{00000000-0008-0000-0100-000013000000}"/>
              </a:ext>
            </a:extLst>
          </xdr:cNvPr>
          <xdr:cNvSpPr/>
        </xdr:nvSpPr>
        <xdr:spPr bwMode="auto">
          <a:xfrm>
            <a:off x="-106" y="124813"/>
            <a:ext cx="679" cy="17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Check Box 79" hidden="1">
            <a:extLst>
              <a:ext uri="{63B3BB69-23CF-44E3-9099-C40C66FF867C}">
                <a14:compatExt xmlns:a14="http://schemas.microsoft.com/office/drawing/2010/main" spid="_x0000_s6223"/>
              </a:ext>
              <a:ext uri="{FF2B5EF4-FFF2-40B4-BE49-F238E27FC236}">
                <a16:creationId xmlns:a16="http://schemas.microsoft.com/office/drawing/2014/main" id="{00000000-0008-0000-0100-000014000000}"/>
              </a:ext>
            </a:extLst>
          </xdr:cNvPr>
          <xdr:cNvSpPr/>
        </xdr:nvSpPr>
        <xdr:spPr bwMode="auto">
          <a:xfrm>
            <a:off x="-106" y="126673"/>
            <a:ext cx="700" cy="17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1" name="Check Box 80" hidden="1">
            <a:extLst>
              <a:ext uri="{63B3BB69-23CF-44E3-9099-C40C66FF867C}">
                <a14:compatExt xmlns:a14="http://schemas.microsoft.com/office/drawing/2010/main" spid="_x0000_s6224"/>
              </a:ext>
              <a:ext uri="{FF2B5EF4-FFF2-40B4-BE49-F238E27FC236}">
                <a16:creationId xmlns:a16="http://schemas.microsoft.com/office/drawing/2014/main" id="{00000000-0008-0000-0100-000015000000}"/>
              </a:ext>
            </a:extLst>
          </xdr:cNvPr>
          <xdr:cNvSpPr/>
        </xdr:nvSpPr>
        <xdr:spPr bwMode="auto">
          <a:xfrm>
            <a:off x="-106" y="128192"/>
            <a:ext cx="693" cy="17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2" name="Check Box 81" hidden="1">
            <a:extLst>
              <a:ext uri="{63B3BB69-23CF-44E3-9099-C40C66FF867C}">
                <a14:compatExt xmlns:a14="http://schemas.microsoft.com/office/drawing/2010/main" spid="_x0000_s6225"/>
              </a:ext>
              <a:ext uri="{FF2B5EF4-FFF2-40B4-BE49-F238E27FC236}">
                <a16:creationId xmlns:a16="http://schemas.microsoft.com/office/drawing/2014/main" id="{00000000-0008-0000-0100-000016000000}"/>
              </a:ext>
            </a:extLst>
          </xdr:cNvPr>
          <xdr:cNvSpPr/>
        </xdr:nvSpPr>
        <xdr:spPr bwMode="auto">
          <a:xfrm>
            <a:off x="-106" y="129791"/>
            <a:ext cx="693" cy="17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Check Box 82" hidden="1">
            <a:extLst>
              <a:ext uri="{63B3BB69-23CF-44E3-9099-C40C66FF867C}">
                <a14:compatExt xmlns:a14="http://schemas.microsoft.com/office/drawing/2010/main" spid="_x0000_s6226"/>
              </a:ext>
              <a:ext uri="{FF2B5EF4-FFF2-40B4-BE49-F238E27FC236}">
                <a16:creationId xmlns:a16="http://schemas.microsoft.com/office/drawing/2014/main" id="{00000000-0008-0000-0100-000017000000}"/>
              </a:ext>
            </a:extLst>
          </xdr:cNvPr>
          <xdr:cNvSpPr/>
        </xdr:nvSpPr>
        <xdr:spPr bwMode="auto">
          <a:xfrm>
            <a:off x="-106" y="131672"/>
            <a:ext cx="693" cy="17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Check Box 83" hidden="1">
            <a:extLst>
              <a:ext uri="{63B3BB69-23CF-44E3-9099-C40C66FF867C}">
                <a14:compatExt xmlns:a14="http://schemas.microsoft.com/office/drawing/2010/main" spid="_x0000_s6227"/>
              </a:ext>
              <a:ext uri="{FF2B5EF4-FFF2-40B4-BE49-F238E27FC236}">
                <a16:creationId xmlns:a16="http://schemas.microsoft.com/office/drawing/2014/main" id="{00000000-0008-0000-0100-000018000000}"/>
              </a:ext>
            </a:extLst>
          </xdr:cNvPr>
          <xdr:cNvSpPr/>
        </xdr:nvSpPr>
        <xdr:spPr bwMode="auto">
          <a:xfrm>
            <a:off x="-106" y="133467"/>
            <a:ext cx="697" cy="17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 name="Check Box 84" hidden="1">
            <a:extLst>
              <a:ext uri="{63B3BB69-23CF-44E3-9099-C40C66FF867C}">
                <a14:compatExt xmlns:a14="http://schemas.microsoft.com/office/drawing/2010/main" spid="_x0000_s6228"/>
              </a:ext>
              <a:ext uri="{FF2B5EF4-FFF2-40B4-BE49-F238E27FC236}">
                <a16:creationId xmlns:a16="http://schemas.microsoft.com/office/drawing/2014/main" id="{00000000-0008-0000-0100-000019000000}"/>
              </a:ext>
            </a:extLst>
          </xdr:cNvPr>
          <xdr:cNvSpPr/>
        </xdr:nvSpPr>
        <xdr:spPr bwMode="auto">
          <a:xfrm>
            <a:off x="-106" y="135175"/>
            <a:ext cx="693" cy="17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6" name="Check Box 85" hidden="1">
            <a:extLst>
              <a:ext uri="{63B3BB69-23CF-44E3-9099-C40C66FF867C}">
                <a14:compatExt xmlns:a14="http://schemas.microsoft.com/office/drawing/2010/main" spid="_x0000_s6229"/>
              </a:ext>
              <a:ext uri="{FF2B5EF4-FFF2-40B4-BE49-F238E27FC236}">
                <a16:creationId xmlns:a16="http://schemas.microsoft.com/office/drawing/2014/main" id="{00000000-0008-0000-0100-00001A000000}"/>
              </a:ext>
            </a:extLst>
          </xdr:cNvPr>
          <xdr:cNvSpPr/>
        </xdr:nvSpPr>
        <xdr:spPr bwMode="auto">
          <a:xfrm>
            <a:off x="-106" y="118188"/>
            <a:ext cx="693" cy="17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7" name="Check Box 86" hidden="1">
            <a:extLst>
              <a:ext uri="{63B3BB69-23CF-44E3-9099-C40C66FF867C}">
                <a14:compatExt xmlns:a14="http://schemas.microsoft.com/office/drawing/2010/main" spid="_x0000_s6230"/>
              </a:ext>
              <a:ext uri="{FF2B5EF4-FFF2-40B4-BE49-F238E27FC236}">
                <a16:creationId xmlns:a16="http://schemas.microsoft.com/office/drawing/2014/main" id="{00000000-0008-0000-0100-00001B000000}"/>
              </a:ext>
            </a:extLst>
          </xdr:cNvPr>
          <xdr:cNvSpPr/>
        </xdr:nvSpPr>
        <xdr:spPr bwMode="auto">
          <a:xfrm>
            <a:off x="-106" y="119849"/>
            <a:ext cx="696" cy="17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Check Box 87">
            <a:extLst>
              <a:ext uri="{63B3BB69-23CF-44E3-9099-C40C66FF867C}">
                <a14:compatExt xmlns:a14="http://schemas.microsoft.com/office/drawing/2010/main" spid="_x0000_s6231"/>
              </a:ext>
              <a:ext uri="{FF2B5EF4-FFF2-40B4-BE49-F238E27FC236}">
                <a16:creationId xmlns:a16="http://schemas.microsoft.com/office/drawing/2014/main" id="{00000000-0008-0000-0100-00001C000000}"/>
              </a:ext>
            </a:extLst>
          </xdr:cNvPr>
          <xdr:cNvSpPr/>
        </xdr:nvSpPr>
        <xdr:spPr bwMode="auto">
          <a:xfrm>
            <a:off x="-106" y="121515"/>
            <a:ext cx="693" cy="17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0</xdr:col>
          <xdr:colOff>12700</xdr:colOff>
          <xdr:row>78</xdr:row>
          <xdr:rowOff>12700</xdr:rowOff>
        </xdr:from>
        <xdr:to>
          <xdr:col>0</xdr:col>
          <xdr:colOff>304800</xdr:colOff>
          <xdr:row>79</xdr:row>
          <xdr:rowOff>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100-00000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82</xdr:row>
          <xdr:rowOff>0</xdr:rowOff>
        </xdr:from>
        <xdr:to>
          <xdr:col>0</xdr:col>
          <xdr:colOff>304800</xdr:colOff>
          <xdr:row>83</xdr:row>
          <xdr:rowOff>0</xdr:rowOff>
        </xdr:to>
        <xdr:sp macro="" textlink="">
          <xdr:nvSpPr>
            <xdr:cNvPr id="13322" name="Check Box 10" descr="&#10;" hidden="1">
              <a:extLst>
                <a:ext uri="{63B3BB69-23CF-44E3-9099-C40C66FF867C}">
                  <a14:compatExt spid="_x0000_s13322"/>
                </a:ext>
                <a:ext uri="{FF2B5EF4-FFF2-40B4-BE49-F238E27FC236}">
                  <a16:creationId xmlns:a16="http://schemas.microsoft.com/office/drawing/2014/main" id="{00000000-0008-0000-01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83</xdr:row>
          <xdr:rowOff>0</xdr:rowOff>
        </xdr:from>
        <xdr:to>
          <xdr:col>1</xdr:col>
          <xdr:colOff>12700</xdr:colOff>
          <xdr:row>84</xdr:row>
          <xdr:rowOff>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100-00000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84</xdr:row>
          <xdr:rowOff>12700</xdr:rowOff>
        </xdr:from>
        <xdr:to>
          <xdr:col>0</xdr:col>
          <xdr:colOff>317500</xdr:colOff>
          <xdr:row>84</xdr:row>
          <xdr:rowOff>190500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100-00000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85</xdr:row>
          <xdr:rowOff>0</xdr:rowOff>
        </xdr:from>
        <xdr:to>
          <xdr:col>0</xdr:col>
          <xdr:colOff>304800</xdr:colOff>
          <xdr:row>85</xdr:row>
          <xdr:rowOff>203200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100-00000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85</xdr:row>
          <xdr:rowOff>203200</xdr:rowOff>
        </xdr:from>
        <xdr:to>
          <xdr:col>0</xdr:col>
          <xdr:colOff>304800</xdr:colOff>
          <xdr:row>87</xdr:row>
          <xdr:rowOff>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100-00000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87</xdr:row>
          <xdr:rowOff>0</xdr:rowOff>
        </xdr:from>
        <xdr:to>
          <xdr:col>0</xdr:col>
          <xdr:colOff>317500</xdr:colOff>
          <xdr:row>88</xdr:row>
          <xdr:rowOff>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100-00000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88</xdr:row>
          <xdr:rowOff>12700</xdr:rowOff>
        </xdr:from>
        <xdr:to>
          <xdr:col>0</xdr:col>
          <xdr:colOff>304800</xdr:colOff>
          <xdr:row>89</xdr:row>
          <xdr:rowOff>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100-00001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89</xdr:row>
          <xdr:rowOff>12700</xdr:rowOff>
        </xdr:from>
        <xdr:to>
          <xdr:col>0</xdr:col>
          <xdr:colOff>304800</xdr:colOff>
          <xdr:row>90</xdr:row>
          <xdr:rowOff>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100-00001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79</xdr:row>
          <xdr:rowOff>12700</xdr:rowOff>
        </xdr:from>
        <xdr:to>
          <xdr:col>0</xdr:col>
          <xdr:colOff>317500</xdr:colOff>
          <xdr:row>80</xdr:row>
          <xdr:rowOff>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100-00001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80</xdr:row>
          <xdr:rowOff>0</xdr:rowOff>
        </xdr:from>
        <xdr:to>
          <xdr:col>0</xdr:col>
          <xdr:colOff>317500</xdr:colOff>
          <xdr:row>80</xdr:row>
          <xdr:rowOff>190500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81</xdr:row>
          <xdr:rowOff>0</xdr:rowOff>
        </xdr:from>
        <xdr:to>
          <xdr:col>0</xdr:col>
          <xdr:colOff>304800</xdr:colOff>
          <xdr:row>82</xdr:row>
          <xdr:rowOff>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58</xdr:row>
          <xdr:rowOff>114300</xdr:rowOff>
        </xdr:from>
        <xdr:to>
          <xdr:col>1</xdr:col>
          <xdr:colOff>88900</xdr:colOff>
          <xdr:row>62</xdr:row>
          <xdr:rowOff>63500</xdr:rowOff>
        </xdr:to>
        <xdr:sp macro="" textlink="">
          <xdr:nvSpPr>
            <xdr:cNvPr id="13345" name="Group Box 33" hidden="1">
              <a:extLst>
                <a:ext uri="{63B3BB69-23CF-44E3-9099-C40C66FF867C}">
                  <a14:compatExt spid="_x0000_s13345"/>
                </a:ext>
                <a:ext uri="{FF2B5EF4-FFF2-40B4-BE49-F238E27FC236}">
                  <a16:creationId xmlns:a16="http://schemas.microsoft.com/office/drawing/2014/main" id="{00000000-0008-0000-0100-000021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59</xdr:row>
          <xdr:rowOff>25400</xdr:rowOff>
        </xdr:from>
        <xdr:to>
          <xdr:col>1</xdr:col>
          <xdr:colOff>0</xdr:colOff>
          <xdr:row>60</xdr:row>
          <xdr:rowOff>0</xdr:rowOff>
        </xdr:to>
        <xdr:sp macro="" textlink="">
          <xdr:nvSpPr>
            <xdr:cNvPr id="13346" name="Option Button 34" hidden="1">
              <a:extLst>
                <a:ext uri="{63B3BB69-23CF-44E3-9099-C40C66FF867C}">
                  <a14:compatExt spid="_x0000_s13346"/>
                </a:ext>
                <a:ext uri="{FF2B5EF4-FFF2-40B4-BE49-F238E27FC236}">
                  <a16:creationId xmlns:a16="http://schemas.microsoft.com/office/drawing/2014/main" id="{00000000-0008-0000-0100-00002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60</xdr:row>
          <xdr:rowOff>0</xdr:rowOff>
        </xdr:from>
        <xdr:to>
          <xdr:col>1</xdr:col>
          <xdr:colOff>12700</xdr:colOff>
          <xdr:row>61</xdr:row>
          <xdr:rowOff>0</xdr:rowOff>
        </xdr:to>
        <xdr:sp macro="" textlink="">
          <xdr:nvSpPr>
            <xdr:cNvPr id="13347" name="Option Button 35" hidden="1">
              <a:extLst>
                <a:ext uri="{63B3BB69-23CF-44E3-9099-C40C66FF867C}">
                  <a14:compatExt spid="_x0000_s13347"/>
                </a:ext>
                <a:ext uri="{FF2B5EF4-FFF2-40B4-BE49-F238E27FC236}">
                  <a16:creationId xmlns:a16="http://schemas.microsoft.com/office/drawing/2014/main" id="{00000000-0008-0000-0100-00002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60</xdr:row>
          <xdr:rowOff>215900</xdr:rowOff>
        </xdr:from>
        <xdr:to>
          <xdr:col>0</xdr:col>
          <xdr:colOff>304800</xdr:colOff>
          <xdr:row>62</xdr:row>
          <xdr:rowOff>0</xdr:rowOff>
        </xdr:to>
        <xdr:sp macro="" textlink="">
          <xdr:nvSpPr>
            <xdr:cNvPr id="13348" name="Option Button 36" hidden="1">
              <a:extLst>
                <a:ext uri="{63B3BB69-23CF-44E3-9099-C40C66FF867C}">
                  <a14:compatExt spid="_x0000_s13348"/>
                </a:ext>
                <a:ext uri="{FF2B5EF4-FFF2-40B4-BE49-F238E27FC236}">
                  <a16:creationId xmlns:a16="http://schemas.microsoft.com/office/drawing/2014/main" id="{00000000-0008-0000-0100-00002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64</xdr:row>
          <xdr:rowOff>88900</xdr:rowOff>
        </xdr:from>
        <xdr:to>
          <xdr:col>1</xdr:col>
          <xdr:colOff>88900</xdr:colOff>
          <xdr:row>72</xdr:row>
          <xdr:rowOff>63500</xdr:rowOff>
        </xdr:to>
        <xdr:sp macro="" textlink="">
          <xdr:nvSpPr>
            <xdr:cNvPr id="13349" name="Group Box 37" hidden="1">
              <a:extLst>
                <a:ext uri="{63B3BB69-23CF-44E3-9099-C40C66FF867C}">
                  <a14:compatExt spid="_x0000_s13349"/>
                </a:ext>
                <a:ext uri="{FF2B5EF4-FFF2-40B4-BE49-F238E27FC236}">
                  <a16:creationId xmlns:a16="http://schemas.microsoft.com/office/drawing/2014/main" id="{00000000-0008-0000-0100-000025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65</xdr:row>
          <xdr:rowOff>0</xdr:rowOff>
        </xdr:from>
        <xdr:to>
          <xdr:col>1</xdr:col>
          <xdr:colOff>0</xdr:colOff>
          <xdr:row>66</xdr:row>
          <xdr:rowOff>0</xdr:rowOff>
        </xdr:to>
        <xdr:sp macro="" textlink="">
          <xdr:nvSpPr>
            <xdr:cNvPr id="13350" name="Option Button 38" hidden="1">
              <a:extLst>
                <a:ext uri="{63B3BB69-23CF-44E3-9099-C40C66FF867C}">
                  <a14:compatExt spid="_x0000_s13350"/>
                </a:ext>
                <a:ext uri="{FF2B5EF4-FFF2-40B4-BE49-F238E27FC236}">
                  <a16:creationId xmlns:a16="http://schemas.microsoft.com/office/drawing/2014/main" id="{00000000-0008-0000-0100-00002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65</xdr:row>
          <xdr:rowOff>190500</xdr:rowOff>
        </xdr:from>
        <xdr:to>
          <xdr:col>0</xdr:col>
          <xdr:colOff>317500</xdr:colOff>
          <xdr:row>67</xdr:row>
          <xdr:rowOff>12700</xdr:rowOff>
        </xdr:to>
        <xdr:sp macro="" textlink="">
          <xdr:nvSpPr>
            <xdr:cNvPr id="13351" name="Option Button 39" hidden="1">
              <a:extLst>
                <a:ext uri="{63B3BB69-23CF-44E3-9099-C40C66FF867C}">
                  <a14:compatExt spid="_x0000_s13351"/>
                </a:ext>
                <a:ext uri="{FF2B5EF4-FFF2-40B4-BE49-F238E27FC236}">
                  <a16:creationId xmlns:a16="http://schemas.microsoft.com/office/drawing/2014/main" id="{00000000-0008-0000-0100-00002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67</xdr:row>
          <xdr:rowOff>0</xdr:rowOff>
        </xdr:from>
        <xdr:to>
          <xdr:col>1</xdr:col>
          <xdr:colOff>12700</xdr:colOff>
          <xdr:row>68</xdr:row>
          <xdr:rowOff>0</xdr:rowOff>
        </xdr:to>
        <xdr:sp macro="" textlink="">
          <xdr:nvSpPr>
            <xdr:cNvPr id="13352" name="Option Button 40" hidden="1">
              <a:extLst>
                <a:ext uri="{63B3BB69-23CF-44E3-9099-C40C66FF867C}">
                  <a14:compatExt spid="_x0000_s13352"/>
                </a:ext>
                <a:ext uri="{FF2B5EF4-FFF2-40B4-BE49-F238E27FC236}">
                  <a16:creationId xmlns:a16="http://schemas.microsoft.com/office/drawing/2014/main" id="{00000000-0008-0000-0100-00002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68</xdr:row>
          <xdr:rowOff>0</xdr:rowOff>
        </xdr:from>
        <xdr:to>
          <xdr:col>1</xdr:col>
          <xdr:colOff>25400</xdr:colOff>
          <xdr:row>69</xdr:row>
          <xdr:rowOff>0</xdr:rowOff>
        </xdr:to>
        <xdr:sp macro="" textlink="">
          <xdr:nvSpPr>
            <xdr:cNvPr id="13353" name="Option Button 41" hidden="1">
              <a:extLst>
                <a:ext uri="{63B3BB69-23CF-44E3-9099-C40C66FF867C}">
                  <a14:compatExt spid="_x0000_s13353"/>
                </a:ext>
                <a:ext uri="{FF2B5EF4-FFF2-40B4-BE49-F238E27FC236}">
                  <a16:creationId xmlns:a16="http://schemas.microsoft.com/office/drawing/2014/main" id="{00000000-0008-0000-0100-00002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68</xdr:row>
          <xdr:rowOff>190500</xdr:rowOff>
        </xdr:from>
        <xdr:to>
          <xdr:col>1</xdr:col>
          <xdr:colOff>12700</xdr:colOff>
          <xdr:row>70</xdr:row>
          <xdr:rowOff>0</xdr:rowOff>
        </xdr:to>
        <xdr:sp macro="" textlink="">
          <xdr:nvSpPr>
            <xdr:cNvPr id="13354" name="Option Button 42" hidden="1">
              <a:extLst>
                <a:ext uri="{63B3BB69-23CF-44E3-9099-C40C66FF867C}">
                  <a14:compatExt spid="_x0000_s13354"/>
                </a:ext>
                <a:ext uri="{FF2B5EF4-FFF2-40B4-BE49-F238E27FC236}">
                  <a16:creationId xmlns:a16="http://schemas.microsoft.com/office/drawing/2014/main" id="{00000000-0008-0000-0100-00002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70</xdr:row>
          <xdr:rowOff>0</xdr:rowOff>
        </xdr:from>
        <xdr:to>
          <xdr:col>1</xdr:col>
          <xdr:colOff>0</xdr:colOff>
          <xdr:row>71</xdr:row>
          <xdr:rowOff>0</xdr:rowOff>
        </xdr:to>
        <xdr:sp macro="" textlink="">
          <xdr:nvSpPr>
            <xdr:cNvPr id="13355" name="Option Button 43" hidden="1">
              <a:extLst>
                <a:ext uri="{63B3BB69-23CF-44E3-9099-C40C66FF867C}">
                  <a14:compatExt spid="_x0000_s13355"/>
                </a:ext>
                <a:ext uri="{FF2B5EF4-FFF2-40B4-BE49-F238E27FC236}">
                  <a16:creationId xmlns:a16="http://schemas.microsoft.com/office/drawing/2014/main" id="{00000000-0008-0000-0100-00002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71</xdr:row>
          <xdr:rowOff>76200</xdr:rowOff>
        </xdr:from>
        <xdr:to>
          <xdr:col>1</xdr:col>
          <xdr:colOff>12700</xdr:colOff>
          <xdr:row>71</xdr:row>
          <xdr:rowOff>330200</xdr:rowOff>
        </xdr:to>
        <xdr:sp macro="" textlink="">
          <xdr:nvSpPr>
            <xdr:cNvPr id="13356" name="Option Button 44" hidden="1">
              <a:extLst>
                <a:ext uri="{63B3BB69-23CF-44E3-9099-C40C66FF867C}">
                  <a14:compatExt spid="_x0000_s13356"/>
                </a:ext>
                <a:ext uri="{FF2B5EF4-FFF2-40B4-BE49-F238E27FC236}">
                  <a16:creationId xmlns:a16="http://schemas.microsoft.com/office/drawing/2014/main" id="{00000000-0008-0000-0100-00002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xdr:colOff>
          <xdr:row>60</xdr:row>
          <xdr:rowOff>25400</xdr:rowOff>
        </xdr:from>
        <xdr:to>
          <xdr:col>2</xdr:col>
          <xdr:colOff>0</xdr:colOff>
          <xdr:row>61</xdr:row>
          <xdr:rowOff>12700</xdr:rowOff>
        </xdr:to>
        <xdr:sp macro="" textlink="">
          <xdr:nvSpPr>
            <xdr:cNvPr id="19461" name="Drop Down 5" hidden="1">
              <a:extLst>
                <a:ext uri="{63B3BB69-23CF-44E3-9099-C40C66FF867C}">
                  <a14:compatExt spid="_x0000_s19461"/>
                </a:ext>
                <a:ext uri="{FF2B5EF4-FFF2-40B4-BE49-F238E27FC236}">
                  <a16:creationId xmlns:a16="http://schemas.microsoft.com/office/drawing/2014/main" id="{00000000-0008-0000-0300-00000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51</xdr:row>
          <xdr:rowOff>38100</xdr:rowOff>
        </xdr:from>
        <xdr:to>
          <xdr:col>1</xdr:col>
          <xdr:colOff>6870700</xdr:colOff>
          <xdr:row>51</xdr:row>
          <xdr:rowOff>355600</xdr:rowOff>
        </xdr:to>
        <xdr:sp macro="" textlink="">
          <xdr:nvSpPr>
            <xdr:cNvPr id="19462" name="Drop Down 6" hidden="1">
              <a:extLst>
                <a:ext uri="{63B3BB69-23CF-44E3-9099-C40C66FF867C}">
                  <a14:compatExt spid="_x0000_s19462"/>
                </a:ext>
                <a:ext uri="{FF2B5EF4-FFF2-40B4-BE49-F238E27FC236}">
                  <a16:creationId xmlns:a16="http://schemas.microsoft.com/office/drawing/2014/main" id="{00000000-0008-0000-0300-000006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140</xdr:row>
          <xdr:rowOff>317500</xdr:rowOff>
        </xdr:from>
        <xdr:to>
          <xdr:col>1</xdr:col>
          <xdr:colOff>12700</xdr:colOff>
          <xdr:row>142</xdr:row>
          <xdr:rowOff>0</xdr:rowOff>
        </xdr:to>
        <xdr:sp macro="" textlink="">
          <xdr:nvSpPr>
            <xdr:cNvPr id="19502" name="Check Box 46" hidden="1">
              <a:extLst>
                <a:ext uri="{63B3BB69-23CF-44E3-9099-C40C66FF867C}">
                  <a14:compatExt spid="_x0000_s19502"/>
                </a:ext>
                <a:ext uri="{FF2B5EF4-FFF2-40B4-BE49-F238E27FC236}">
                  <a16:creationId xmlns:a16="http://schemas.microsoft.com/office/drawing/2014/main" id="{00000000-0008-0000-0300-00002E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141</xdr:row>
          <xdr:rowOff>190500</xdr:rowOff>
        </xdr:from>
        <xdr:to>
          <xdr:col>1</xdr:col>
          <xdr:colOff>12700</xdr:colOff>
          <xdr:row>143</xdr:row>
          <xdr:rowOff>12700</xdr:rowOff>
        </xdr:to>
        <xdr:sp macro="" textlink="">
          <xdr:nvSpPr>
            <xdr:cNvPr id="19503" name="Check Box 47" hidden="1">
              <a:extLst>
                <a:ext uri="{63B3BB69-23CF-44E3-9099-C40C66FF867C}">
                  <a14:compatExt spid="_x0000_s19503"/>
                </a:ext>
                <a:ext uri="{FF2B5EF4-FFF2-40B4-BE49-F238E27FC236}">
                  <a16:creationId xmlns:a16="http://schemas.microsoft.com/office/drawing/2014/main" id="{00000000-0008-0000-0300-00002F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142</xdr:row>
          <xdr:rowOff>190500</xdr:rowOff>
        </xdr:from>
        <xdr:to>
          <xdr:col>1</xdr:col>
          <xdr:colOff>12700</xdr:colOff>
          <xdr:row>144</xdr:row>
          <xdr:rowOff>12700</xdr:rowOff>
        </xdr:to>
        <xdr:sp macro="" textlink="">
          <xdr:nvSpPr>
            <xdr:cNvPr id="19504" name="Check Box 48"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143</xdr:row>
          <xdr:rowOff>215900</xdr:rowOff>
        </xdr:from>
        <xdr:to>
          <xdr:col>1</xdr:col>
          <xdr:colOff>12700</xdr:colOff>
          <xdr:row>145</xdr:row>
          <xdr:rowOff>12700</xdr:rowOff>
        </xdr:to>
        <xdr:sp macro="" textlink="">
          <xdr:nvSpPr>
            <xdr:cNvPr id="19505" name="Check Box 49"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144</xdr:row>
          <xdr:rowOff>215900</xdr:rowOff>
        </xdr:from>
        <xdr:to>
          <xdr:col>1</xdr:col>
          <xdr:colOff>12700</xdr:colOff>
          <xdr:row>146</xdr:row>
          <xdr:rowOff>12700</xdr:rowOff>
        </xdr:to>
        <xdr:sp macro="" textlink="">
          <xdr:nvSpPr>
            <xdr:cNvPr id="19506" name="Check Box 50" hidden="1">
              <a:extLst>
                <a:ext uri="{63B3BB69-23CF-44E3-9099-C40C66FF867C}">
                  <a14:compatExt spid="_x0000_s19506"/>
                </a:ext>
                <a:ext uri="{FF2B5EF4-FFF2-40B4-BE49-F238E27FC236}">
                  <a16:creationId xmlns:a16="http://schemas.microsoft.com/office/drawing/2014/main" id="{00000000-0008-0000-0300-000032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145</xdr:row>
          <xdr:rowOff>190500</xdr:rowOff>
        </xdr:from>
        <xdr:to>
          <xdr:col>1</xdr:col>
          <xdr:colOff>12700</xdr:colOff>
          <xdr:row>147</xdr:row>
          <xdr:rowOff>0</xdr:rowOff>
        </xdr:to>
        <xdr:sp macro="" textlink="">
          <xdr:nvSpPr>
            <xdr:cNvPr id="19507" name="Check Box 51" hidden="1">
              <a:extLst>
                <a:ext uri="{63B3BB69-23CF-44E3-9099-C40C66FF867C}">
                  <a14:compatExt spid="_x0000_s19507"/>
                </a:ext>
                <a:ext uri="{FF2B5EF4-FFF2-40B4-BE49-F238E27FC236}">
                  <a16:creationId xmlns:a16="http://schemas.microsoft.com/office/drawing/2014/main" id="{00000000-0008-0000-0300-000033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146</xdr:row>
          <xdr:rowOff>190500</xdr:rowOff>
        </xdr:from>
        <xdr:to>
          <xdr:col>1</xdr:col>
          <xdr:colOff>12700</xdr:colOff>
          <xdr:row>148</xdr:row>
          <xdr:rowOff>0</xdr:rowOff>
        </xdr:to>
        <xdr:sp macro="" textlink="">
          <xdr:nvSpPr>
            <xdr:cNvPr id="19508" name="Check Box 52" hidden="1">
              <a:extLst>
                <a:ext uri="{63B3BB69-23CF-44E3-9099-C40C66FF867C}">
                  <a14:compatExt spid="_x0000_s19508"/>
                </a:ext>
                <a:ext uri="{FF2B5EF4-FFF2-40B4-BE49-F238E27FC236}">
                  <a16:creationId xmlns:a16="http://schemas.microsoft.com/office/drawing/2014/main" id="{00000000-0008-0000-0300-000034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268</xdr:row>
          <xdr:rowOff>0</xdr:rowOff>
        </xdr:from>
        <xdr:to>
          <xdr:col>1</xdr:col>
          <xdr:colOff>12700</xdr:colOff>
          <xdr:row>269</xdr:row>
          <xdr:rowOff>0</xdr:rowOff>
        </xdr:to>
        <xdr:sp macro="" textlink="">
          <xdr:nvSpPr>
            <xdr:cNvPr id="19509" name="Check Box 53" hidden="1">
              <a:extLst>
                <a:ext uri="{63B3BB69-23CF-44E3-9099-C40C66FF867C}">
                  <a14:compatExt spid="_x0000_s19509"/>
                </a:ext>
                <a:ext uri="{FF2B5EF4-FFF2-40B4-BE49-F238E27FC236}">
                  <a16:creationId xmlns:a16="http://schemas.microsoft.com/office/drawing/2014/main" id="{00000000-0008-0000-0300-000035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268</xdr:row>
          <xdr:rowOff>203200</xdr:rowOff>
        </xdr:from>
        <xdr:to>
          <xdr:col>1</xdr:col>
          <xdr:colOff>12700</xdr:colOff>
          <xdr:row>269</xdr:row>
          <xdr:rowOff>203200</xdr:rowOff>
        </xdr:to>
        <xdr:sp macro="" textlink="">
          <xdr:nvSpPr>
            <xdr:cNvPr id="19510" name="Check Box 54" hidden="1">
              <a:extLst>
                <a:ext uri="{63B3BB69-23CF-44E3-9099-C40C66FF867C}">
                  <a14:compatExt spid="_x0000_s19510"/>
                </a:ext>
                <a:ext uri="{FF2B5EF4-FFF2-40B4-BE49-F238E27FC236}">
                  <a16:creationId xmlns:a16="http://schemas.microsoft.com/office/drawing/2014/main" id="{00000000-0008-0000-0300-000036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269</xdr:row>
          <xdr:rowOff>203200</xdr:rowOff>
        </xdr:from>
        <xdr:to>
          <xdr:col>1</xdr:col>
          <xdr:colOff>12700</xdr:colOff>
          <xdr:row>270</xdr:row>
          <xdr:rowOff>203200</xdr:rowOff>
        </xdr:to>
        <xdr:sp macro="" textlink="">
          <xdr:nvSpPr>
            <xdr:cNvPr id="19511" name="Check Box 55" hidden="1">
              <a:extLst>
                <a:ext uri="{63B3BB69-23CF-44E3-9099-C40C66FF867C}">
                  <a14:compatExt spid="_x0000_s19511"/>
                </a:ext>
                <a:ext uri="{FF2B5EF4-FFF2-40B4-BE49-F238E27FC236}">
                  <a16:creationId xmlns:a16="http://schemas.microsoft.com/office/drawing/2014/main" id="{00000000-0008-0000-0300-000037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283</xdr:row>
          <xdr:rowOff>215900</xdr:rowOff>
        </xdr:from>
        <xdr:to>
          <xdr:col>0</xdr:col>
          <xdr:colOff>508000</xdr:colOff>
          <xdr:row>285</xdr:row>
          <xdr:rowOff>12700</xdr:rowOff>
        </xdr:to>
        <xdr:sp macro="" textlink="">
          <xdr:nvSpPr>
            <xdr:cNvPr id="19519" name="Option Button 63"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284</xdr:row>
          <xdr:rowOff>203200</xdr:rowOff>
        </xdr:from>
        <xdr:to>
          <xdr:col>0</xdr:col>
          <xdr:colOff>508000</xdr:colOff>
          <xdr:row>286</xdr:row>
          <xdr:rowOff>12700</xdr:rowOff>
        </xdr:to>
        <xdr:sp macro="" textlink="">
          <xdr:nvSpPr>
            <xdr:cNvPr id="19520" name="Option Button 64"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285</xdr:row>
          <xdr:rowOff>190500</xdr:rowOff>
        </xdr:from>
        <xdr:to>
          <xdr:col>0</xdr:col>
          <xdr:colOff>508000</xdr:colOff>
          <xdr:row>286</xdr:row>
          <xdr:rowOff>203200</xdr:rowOff>
        </xdr:to>
        <xdr:sp macro="" textlink="">
          <xdr:nvSpPr>
            <xdr:cNvPr id="19521" name="Option Button 65"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6870700</xdr:colOff>
          <xdr:row>92</xdr:row>
          <xdr:rowOff>0</xdr:rowOff>
        </xdr:from>
        <xdr:to>
          <xdr:col>6</xdr:col>
          <xdr:colOff>0</xdr:colOff>
          <xdr:row>93</xdr:row>
          <xdr:rowOff>0</xdr:rowOff>
        </xdr:to>
        <xdr:sp macro="" textlink="">
          <xdr:nvSpPr>
            <xdr:cNvPr id="19556" name="Group Box 100" hidden="1">
              <a:extLst>
                <a:ext uri="{63B3BB69-23CF-44E3-9099-C40C66FF867C}">
                  <a14:compatExt spid="_x0000_s19556"/>
                </a:ext>
                <a:ext uri="{FF2B5EF4-FFF2-40B4-BE49-F238E27FC236}">
                  <a16:creationId xmlns:a16="http://schemas.microsoft.com/office/drawing/2014/main" id="{00000000-0008-0000-0300-000064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92</xdr:row>
          <xdr:rowOff>12700</xdr:rowOff>
        </xdr:from>
        <xdr:to>
          <xdr:col>2</xdr:col>
          <xdr:colOff>1041400</xdr:colOff>
          <xdr:row>92</xdr:row>
          <xdr:rowOff>203200</xdr:rowOff>
        </xdr:to>
        <xdr:sp macro="" textlink="">
          <xdr:nvSpPr>
            <xdr:cNvPr id="19557" name="Option Button 101" hidden="1">
              <a:extLst>
                <a:ext uri="{63B3BB69-23CF-44E3-9099-C40C66FF867C}">
                  <a14:compatExt spid="_x0000_s19557"/>
                </a:ext>
                <a:ext uri="{FF2B5EF4-FFF2-40B4-BE49-F238E27FC236}">
                  <a16:creationId xmlns:a16="http://schemas.microsoft.com/office/drawing/2014/main" id="{00000000-0008-0000-0300-000065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92</xdr:row>
          <xdr:rowOff>0</xdr:rowOff>
        </xdr:from>
        <xdr:to>
          <xdr:col>3</xdr:col>
          <xdr:colOff>1130300</xdr:colOff>
          <xdr:row>92</xdr:row>
          <xdr:rowOff>190500</xdr:rowOff>
        </xdr:to>
        <xdr:sp macro="" textlink="">
          <xdr:nvSpPr>
            <xdr:cNvPr id="19558" name="Option Button 102" hidden="1">
              <a:extLst>
                <a:ext uri="{63B3BB69-23CF-44E3-9099-C40C66FF867C}">
                  <a14:compatExt spid="_x0000_s19558"/>
                </a:ext>
                <a:ext uri="{FF2B5EF4-FFF2-40B4-BE49-F238E27FC236}">
                  <a16:creationId xmlns:a16="http://schemas.microsoft.com/office/drawing/2014/main" id="{00000000-0008-0000-0300-000066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698500</xdr:colOff>
          <xdr:row>92</xdr:row>
          <xdr:rowOff>0</xdr:rowOff>
        </xdr:from>
        <xdr:to>
          <xdr:col>4</xdr:col>
          <xdr:colOff>1143000</xdr:colOff>
          <xdr:row>92</xdr:row>
          <xdr:rowOff>215900</xdr:rowOff>
        </xdr:to>
        <xdr:sp macro="" textlink="">
          <xdr:nvSpPr>
            <xdr:cNvPr id="19559" name="Option Button 103" hidden="1">
              <a:extLst>
                <a:ext uri="{63B3BB69-23CF-44E3-9099-C40C66FF867C}">
                  <a14:compatExt spid="_x0000_s19559"/>
                </a:ext>
                <a:ext uri="{FF2B5EF4-FFF2-40B4-BE49-F238E27FC236}">
                  <a16:creationId xmlns:a16="http://schemas.microsoft.com/office/drawing/2014/main" id="{00000000-0008-0000-0300-000067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863600</xdr:colOff>
          <xdr:row>92</xdr:row>
          <xdr:rowOff>0</xdr:rowOff>
        </xdr:from>
        <xdr:to>
          <xdr:col>5</xdr:col>
          <xdr:colOff>1384300</xdr:colOff>
          <xdr:row>92</xdr:row>
          <xdr:rowOff>190500</xdr:rowOff>
        </xdr:to>
        <xdr:sp macro="" textlink="">
          <xdr:nvSpPr>
            <xdr:cNvPr id="19561" name="Option Button 105" hidden="1">
              <a:extLst>
                <a:ext uri="{63B3BB69-23CF-44E3-9099-C40C66FF867C}">
                  <a14:compatExt spid="_x0000_s19561"/>
                </a:ext>
                <a:ext uri="{FF2B5EF4-FFF2-40B4-BE49-F238E27FC236}">
                  <a16:creationId xmlns:a16="http://schemas.microsoft.com/office/drawing/2014/main" id="{00000000-0008-0000-0300-000069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100</xdr:row>
          <xdr:rowOff>0</xdr:rowOff>
        </xdr:from>
        <xdr:to>
          <xdr:col>6</xdr:col>
          <xdr:colOff>0</xdr:colOff>
          <xdr:row>101</xdr:row>
          <xdr:rowOff>0</xdr:rowOff>
        </xdr:to>
        <xdr:sp macro="" textlink="">
          <xdr:nvSpPr>
            <xdr:cNvPr id="19562" name="Group Box 106" hidden="1">
              <a:extLst>
                <a:ext uri="{63B3BB69-23CF-44E3-9099-C40C66FF867C}">
                  <a14:compatExt spid="_x0000_s19562"/>
                </a:ext>
                <a:ext uri="{FF2B5EF4-FFF2-40B4-BE49-F238E27FC236}">
                  <a16:creationId xmlns:a16="http://schemas.microsoft.com/office/drawing/2014/main" id="{00000000-0008-0000-0300-00006A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6870700</xdr:colOff>
          <xdr:row>93</xdr:row>
          <xdr:rowOff>12700</xdr:rowOff>
        </xdr:from>
        <xdr:to>
          <xdr:col>6</xdr:col>
          <xdr:colOff>0</xdr:colOff>
          <xdr:row>94</xdr:row>
          <xdr:rowOff>0</xdr:rowOff>
        </xdr:to>
        <xdr:sp macro="" textlink="">
          <xdr:nvSpPr>
            <xdr:cNvPr id="19563" name="Group Box 107" hidden="1">
              <a:extLst>
                <a:ext uri="{63B3BB69-23CF-44E3-9099-C40C66FF867C}">
                  <a14:compatExt spid="_x0000_s19563"/>
                </a:ext>
                <a:ext uri="{FF2B5EF4-FFF2-40B4-BE49-F238E27FC236}">
                  <a16:creationId xmlns:a16="http://schemas.microsoft.com/office/drawing/2014/main" id="{00000000-0008-0000-0300-00006B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6883400</xdr:colOff>
          <xdr:row>94</xdr:row>
          <xdr:rowOff>12700</xdr:rowOff>
        </xdr:from>
        <xdr:to>
          <xdr:col>5</xdr:col>
          <xdr:colOff>1981200</xdr:colOff>
          <xdr:row>95</xdr:row>
          <xdr:rowOff>0</xdr:rowOff>
        </xdr:to>
        <xdr:sp macro="" textlink="">
          <xdr:nvSpPr>
            <xdr:cNvPr id="19564" name="Group Box 108" hidden="1">
              <a:extLst>
                <a:ext uri="{63B3BB69-23CF-44E3-9099-C40C66FF867C}">
                  <a14:compatExt spid="_x0000_s19564"/>
                </a:ext>
                <a:ext uri="{FF2B5EF4-FFF2-40B4-BE49-F238E27FC236}">
                  <a16:creationId xmlns:a16="http://schemas.microsoft.com/office/drawing/2014/main" id="{00000000-0008-0000-0300-00006C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6883400</xdr:colOff>
          <xdr:row>96</xdr:row>
          <xdr:rowOff>0</xdr:rowOff>
        </xdr:from>
        <xdr:to>
          <xdr:col>6</xdr:col>
          <xdr:colOff>12700</xdr:colOff>
          <xdr:row>97</xdr:row>
          <xdr:rowOff>0</xdr:rowOff>
        </xdr:to>
        <xdr:sp macro="" textlink="">
          <xdr:nvSpPr>
            <xdr:cNvPr id="19565" name="Group Box 109" hidden="1">
              <a:extLst>
                <a:ext uri="{63B3BB69-23CF-44E3-9099-C40C66FF867C}">
                  <a14:compatExt spid="_x0000_s19565"/>
                </a:ext>
                <a:ext uri="{FF2B5EF4-FFF2-40B4-BE49-F238E27FC236}">
                  <a16:creationId xmlns:a16="http://schemas.microsoft.com/office/drawing/2014/main" id="{00000000-0008-0000-0300-00006D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94</xdr:row>
          <xdr:rowOff>254000</xdr:rowOff>
        </xdr:from>
        <xdr:to>
          <xdr:col>6</xdr:col>
          <xdr:colOff>0</xdr:colOff>
          <xdr:row>96</xdr:row>
          <xdr:rowOff>0</xdr:rowOff>
        </xdr:to>
        <xdr:sp macro="" textlink="">
          <xdr:nvSpPr>
            <xdr:cNvPr id="19566" name="Group Box 110" hidden="1">
              <a:extLst>
                <a:ext uri="{63B3BB69-23CF-44E3-9099-C40C66FF867C}">
                  <a14:compatExt spid="_x0000_s19566"/>
                </a:ext>
                <a:ext uri="{FF2B5EF4-FFF2-40B4-BE49-F238E27FC236}">
                  <a16:creationId xmlns:a16="http://schemas.microsoft.com/office/drawing/2014/main" id="{00000000-0008-0000-0300-00006E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96</xdr:row>
          <xdr:rowOff>25400</xdr:rowOff>
        </xdr:from>
        <xdr:to>
          <xdr:col>2</xdr:col>
          <xdr:colOff>990600</xdr:colOff>
          <xdr:row>96</xdr:row>
          <xdr:rowOff>228600</xdr:rowOff>
        </xdr:to>
        <xdr:sp macro="" textlink="">
          <xdr:nvSpPr>
            <xdr:cNvPr id="19576" name="Option Button 120" hidden="1">
              <a:extLst>
                <a:ext uri="{63B3BB69-23CF-44E3-9099-C40C66FF867C}">
                  <a14:compatExt spid="_x0000_s19576"/>
                </a:ext>
                <a:ext uri="{FF2B5EF4-FFF2-40B4-BE49-F238E27FC236}">
                  <a16:creationId xmlns:a16="http://schemas.microsoft.com/office/drawing/2014/main" id="{00000000-0008-0000-0300-000078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96</xdr:row>
          <xdr:rowOff>25400</xdr:rowOff>
        </xdr:from>
        <xdr:to>
          <xdr:col>3</xdr:col>
          <xdr:colOff>927100</xdr:colOff>
          <xdr:row>96</xdr:row>
          <xdr:rowOff>228600</xdr:rowOff>
        </xdr:to>
        <xdr:sp macro="" textlink="">
          <xdr:nvSpPr>
            <xdr:cNvPr id="19577" name="Option Button 121" hidden="1">
              <a:extLst>
                <a:ext uri="{63B3BB69-23CF-44E3-9099-C40C66FF867C}">
                  <a14:compatExt spid="_x0000_s19577"/>
                </a:ext>
                <a:ext uri="{FF2B5EF4-FFF2-40B4-BE49-F238E27FC236}">
                  <a16:creationId xmlns:a16="http://schemas.microsoft.com/office/drawing/2014/main" id="{00000000-0008-0000-0300-000079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96</xdr:row>
          <xdr:rowOff>12700</xdr:rowOff>
        </xdr:from>
        <xdr:to>
          <xdr:col>4</xdr:col>
          <xdr:colOff>1066800</xdr:colOff>
          <xdr:row>96</xdr:row>
          <xdr:rowOff>228600</xdr:rowOff>
        </xdr:to>
        <xdr:sp macro="" textlink="">
          <xdr:nvSpPr>
            <xdr:cNvPr id="19578" name="Option Button 122" hidden="1">
              <a:extLst>
                <a:ext uri="{63B3BB69-23CF-44E3-9099-C40C66FF867C}">
                  <a14:compatExt spid="_x0000_s19578"/>
                </a:ext>
                <a:ext uri="{FF2B5EF4-FFF2-40B4-BE49-F238E27FC236}">
                  <a16:creationId xmlns:a16="http://schemas.microsoft.com/office/drawing/2014/main" id="{00000000-0008-0000-0300-00007A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863600</xdr:colOff>
          <xdr:row>96</xdr:row>
          <xdr:rowOff>12700</xdr:rowOff>
        </xdr:from>
        <xdr:to>
          <xdr:col>5</xdr:col>
          <xdr:colOff>1244600</xdr:colOff>
          <xdr:row>96</xdr:row>
          <xdr:rowOff>228600</xdr:rowOff>
        </xdr:to>
        <xdr:sp macro="" textlink="">
          <xdr:nvSpPr>
            <xdr:cNvPr id="19579" name="Option Button 123" hidden="1">
              <a:extLst>
                <a:ext uri="{63B3BB69-23CF-44E3-9099-C40C66FF867C}">
                  <a14:compatExt spid="_x0000_s19579"/>
                </a:ext>
                <a:ext uri="{FF2B5EF4-FFF2-40B4-BE49-F238E27FC236}">
                  <a16:creationId xmlns:a16="http://schemas.microsoft.com/office/drawing/2014/main" id="{00000000-0008-0000-0300-00007B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99</xdr:row>
          <xdr:rowOff>0</xdr:rowOff>
        </xdr:from>
        <xdr:to>
          <xdr:col>6</xdr:col>
          <xdr:colOff>0</xdr:colOff>
          <xdr:row>100</xdr:row>
          <xdr:rowOff>0</xdr:rowOff>
        </xdr:to>
        <xdr:sp macro="" textlink="">
          <xdr:nvSpPr>
            <xdr:cNvPr id="19588" name="Group Box 132" hidden="1">
              <a:extLst>
                <a:ext uri="{63B3BB69-23CF-44E3-9099-C40C66FF867C}">
                  <a14:compatExt spid="_x0000_s19588"/>
                </a:ext>
                <a:ext uri="{FF2B5EF4-FFF2-40B4-BE49-F238E27FC236}">
                  <a16:creationId xmlns:a16="http://schemas.microsoft.com/office/drawing/2014/main" id="{00000000-0008-0000-0300-000084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101</xdr:row>
          <xdr:rowOff>0</xdr:rowOff>
        </xdr:from>
        <xdr:to>
          <xdr:col>6</xdr:col>
          <xdr:colOff>12700</xdr:colOff>
          <xdr:row>102</xdr:row>
          <xdr:rowOff>0</xdr:rowOff>
        </xdr:to>
        <xdr:sp macro="" textlink="">
          <xdr:nvSpPr>
            <xdr:cNvPr id="19589" name="Group Box 133" hidden="1">
              <a:extLst>
                <a:ext uri="{63B3BB69-23CF-44E3-9099-C40C66FF867C}">
                  <a14:compatExt spid="_x0000_s19589"/>
                </a:ext>
                <a:ext uri="{FF2B5EF4-FFF2-40B4-BE49-F238E27FC236}">
                  <a16:creationId xmlns:a16="http://schemas.microsoft.com/office/drawing/2014/main" id="{00000000-0008-0000-0300-000085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104</xdr:row>
          <xdr:rowOff>0</xdr:rowOff>
        </xdr:from>
        <xdr:to>
          <xdr:col>5</xdr:col>
          <xdr:colOff>1981200</xdr:colOff>
          <xdr:row>105</xdr:row>
          <xdr:rowOff>0</xdr:rowOff>
        </xdr:to>
        <xdr:sp macro="" textlink="">
          <xdr:nvSpPr>
            <xdr:cNvPr id="19590" name="Group Box 134" hidden="1">
              <a:extLst>
                <a:ext uri="{63B3BB69-23CF-44E3-9099-C40C66FF867C}">
                  <a14:compatExt spid="_x0000_s19590"/>
                </a:ext>
                <a:ext uri="{FF2B5EF4-FFF2-40B4-BE49-F238E27FC236}">
                  <a16:creationId xmlns:a16="http://schemas.microsoft.com/office/drawing/2014/main" id="{00000000-0008-0000-0300-000086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101</xdr:row>
          <xdr:rowOff>254000</xdr:rowOff>
        </xdr:from>
        <xdr:to>
          <xdr:col>6</xdr:col>
          <xdr:colOff>12700</xdr:colOff>
          <xdr:row>103</xdr:row>
          <xdr:rowOff>0</xdr:rowOff>
        </xdr:to>
        <xdr:sp macro="" textlink="">
          <xdr:nvSpPr>
            <xdr:cNvPr id="19591" name="Group Box 135" hidden="1">
              <a:extLst>
                <a:ext uri="{63B3BB69-23CF-44E3-9099-C40C66FF867C}">
                  <a14:compatExt spid="_x0000_s19591"/>
                </a:ext>
                <a:ext uri="{FF2B5EF4-FFF2-40B4-BE49-F238E27FC236}">
                  <a16:creationId xmlns:a16="http://schemas.microsoft.com/office/drawing/2014/main" id="{00000000-0008-0000-0300-000087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103</xdr:row>
          <xdr:rowOff>0</xdr:rowOff>
        </xdr:from>
        <xdr:to>
          <xdr:col>6</xdr:col>
          <xdr:colOff>0</xdr:colOff>
          <xdr:row>104</xdr:row>
          <xdr:rowOff>0</xdr:rowOff>
        </xdr:to>
        <xdr:sp macro="" textlink="">
          <xdr:nvSpPr>
            <xdr:cNvPr id="19592" name="Group Box 136" hidden="1">
              <a:extLst>
                <a:ext uri="{63B3BB69-23CF-44E3-9099-C40C66FF867C}">
                  <a14:compatExt spid="_x0000_s19592"/>
                </a:ext>
                <a:ext uri="{FF2B5EF4-FFF2-40B4-BE49-F238E27FC236}">
                  <a16:creationId xmlns:a16="http://schemas.microsoft.com/office/drawing/2014/main" id="{00000000-0008-0000-0300-000088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6883400</xdr:colOff>
          <xdr:row>109</xdr:row>
          <xdr:rowOff>0</xdr:rowOff>
        </xdr:from>
        <xdr:to>
          <xdr:col>6</xdr:col>
          <xdr:colOff>0</xdr:colOff>
          <xdr:row>110</xdr:row>
          <xdr:rowOff>0</xdr:rowOff>
        </xdr:to>
        <xdr:sp macro="" textlink="">
          <xdr:nvSpPr>
            <xdr:cNvPr id="19593" name="Group Box 137" hidden="1">
              <a:extLst>
                <a:ext uri="{63B3BB69-23CF-44E3-9099-C40C66FF867C}">
                  <a14:compatExt spid="_x0000_s19593"/>
                </a:ext>
                <a:ext uri="{FF2B5EF4-FFF2-40B4-BE49-F238E27FC236}">
                  <a16:creationId xmlns:a16="http://schemas.microsoft.com/office/drawing/2014/main" id="{00000000-0008-0000-0300-000089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6870700</xdr:colOff>
          <xdr:row>105</xdr:row>
          <xdr:rowOff>0</xdr:rowOff>
        </xdr:from>
        <xdr:to>
          <xdr:col>5</xdr:col>
          <xdr:colOff>1981200</xdr:colOff>
          <xdr:row>106</xdr:row>
          <xdr:rowOff>0</xdr:rowOff>
        </xdr:to>
        <xdr:sp macro="" textlink="">
          <xdr:nvSpPr>
            <xdr:cNvPr id="19594" name="Group Box 138" hidden="1">
              <a:extLst>
                <a:ext uri="{63B3BB69-23CF-44E3-9099-C40C66FF867C}">
                  <a14:compatExt spid="_x0000_s19594"/>
                </a:ext>
                <a:ext uri="{FF2B5EF4-FFF2-40B4-BE49-F238E27FC236}">
                  <a16:creationId xmlns:a16="http://schemas.microsoft.com/office/drawing/2014/main" id="{00000000-0008-0000-0300-00008A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99</xdr:row>
          <xdr:rowOff>25400</xdr:rowOff>
        </xdr:from>
        <xdr:to>
          <xdr:col>2</xdr:col>
          <xdr:colOff>990600</xdr:colOff>
          <xdr:row>99</xdr:row>
          <xdr:rowOff>228600</xdr:rowOff>
        </xdr:to>
        <xdr:sp macro="" textlink="">
          <xdr:nvSpPr>
            <xdr:cNvPr id="19603" name="Option Button 147" hidden="1">
              <a:extLst>
                <a:ext uri="{63B3BB69-23CF-44E3-9099-C40C66FF867C}">
                  <a14:compatExt spid="_x0000_s19603"/>
                </a:ext>
                <a:ext uri="{FF2B5EF4-FFF2-40B4-BE49-F238E27FC236}">
                  <a16:creationId xmlns:a16="http://schemas.microsoft.com/office/drawing/2014/main" id="{00000000-0008-0000-0300-000093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99</xdr:row>
          <xdr:rowOff>38100</xdr:rowOff>
        </xdr:from>
        <xdr:to>
          <xdr:col>3</xdr:col>
          <xdr:colOff>927100</xdr:colOff>
          <xdr:row>99</xdr:row>
          <xdr:rowOff>228600</xdr:rowOff>
        </xdr:to>
        <xdr:sp macro="" textlink="">
          <xdr:nvSpPr>
            <xdr:cNvPr id="19604" name="Option Button 148" hidden="1">
              <a:extLst>
                <a:ext uri="{63B3BB69-23CF-44E3-9099-C40C66FF867C}">
                  <a14:compatExt spid="_x0000_s19604"/>
                </a:ext>
                <a:ext uri="{FF2B5EF4-FFF2-40B4-BE49-F238E27FC236}">
                  <a16:creationId xmlns:a16="http://schemas.microsoft.com/office/drawing/2014/main" id="{00000000-0008-0000-0300-000094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99</xdr:row>
          <xdr:rowOff>25400</xdr:rowOff>
        </xdr:from>
        <xdr:to>
          <xdr:col>4</xdr:col>
          <xdr:colOff>1066800</xdr:colOff>
          <xdr:row>99</xdr:row>
          <xdr:rowOff>228600</xdr:rowOff>
        </xdr:to>
        <xdr:sp macro="" textlink="">
          <xdr:nvSpPr>
            <xdr:cNvPr id="19605" name="Option Button 149" hidden="1">
              <a:extLst>
                <a:ext uri="{63B3BB69-23CF-44E3-9099-C40C66FF867C}">
                  <a14:compatExt spid="_x0000_s19605"/>
                </a:ext>
                <a:ext uri="{FF2B5EF4-FFF2-40B4-BE49-F238E27FC236}">
                  <a16:creationId xmlns:a16="http://schemas.microsoft.com/office/drawing/2014/main" id="{00000000-0008-0000-0300-000095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863600</xdr:colOff>
          <xdr:row>99</xdr:row>
          <xdr:rowOff>12700</xdr:rowOff>
        </xdr:from>
        <xdr:to>
          <xdr:col>5</xdr:col>
          <xdr:colOff>1244600</xdr:colOff>
          <xdr:row>99</xdr:row>
          <xdr:rowOff>228600</xdr:rowOff>
        </xdr:to>
        <xdr:sp macro="" textlink="">
          <xdr:nvSpPr>
            <xdr:cNvPr id="19606" name="Option Button 150" hidden="1">
              <a:extLst>
                <a:ext uri="{63B3BB69-23CF-44E3-9099-C40C66FF867C}">
                  <a14:compatExt spid="_x0000_s19606"/>
                </a:ext>
                <a:ext uri="{FF2B5EF4-FFF2-40B4-BE49-F238E27FC236}">
                  <a16:creationId xmlns:a16="http://schemas.microsoft.com/office/drawing/2014/main" id="{00000000-0008-0000-0300-000096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102</xdr:row>
          <xdr:rowOff>38100</xdr:rowOff>
        </xdr:from>
        <xdr:to>
          <xdr:col>2</xdr:col>
          <xdr:colOff>990600</xdr:colOff>
          <xdr:row>102</xdr:row>
          <xdr:rowOff>241300</xdr:rowOff>
        </xdr:to>
        <xdr:sp macro="" textlink="">
          <xdr:nvSpPr>
            <xdr:cNvPr id="19607" name="Option Button 151" hidden="1">
              <a:extLst>
                <a:ext uri="{63B3BB69-23CF-44E3-9099-C40C66FF867C}">
                  <a14:compatExt spid="_x0000_s19607"/>
                </a:ext>
                <a:ext uri="{FF2B5EF4-FFF2-40B4-BE49-F238E27FC236}">
                  <a16:creationId xmlns:a16="http://schemas.microsoft.com/office/drawing/2014/main" id="{00000000-0008-0000-0300-000097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102</xdr:row>
          <xdr:rowOff>38100</xdr:rowOff>
        </xdr:from>
        <xdr:to>
          <xdr:col>3</xdr:col>
          <xdr:colOff>939800</xdr:colOff>
          <xdr:row>102</xdr:row>
          <xdr:rowOff>228600</xdr:rowOff>
        </xdr:to>
        <xdr:sp macro="" textlink="">
          <xdr:nvSpPr>
            <xdr:cNvPr id="19608" name="Option Button 152" hidden="1">
              <a:extLst>
                <a:ext uri="{63B3BB69-23CF-44E3-9099-C40C66FF867C}">
                  <a14:compatExt spid="_x0000_s19608"/>
                </a:ext>
                <a:ext uri="{FF2B5EF4-FFF2-40B4-BE49-F238E27FC236}">
                  <a16:creationId xmlns:a16="http://schemas.microsoft.com/office/drawing/2014/main" id="{00000000-0008-0000-0300-000098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698500</xdr:colOff>
          <xdr:row>102</xdr:row>
          <xdr:rowOff>38100</xdr:rowOff>
        </xdr:from>
        <xdr:to>
          <xdr:col>4</xdr:col>
          <xdr:colOff>1079500</xdr:colOff>
          <xdr:row>102</xdr:row>
          <xdr:rowOff>241300</xdr:rowOff>
        </xdr:to>
        <xdr:sp macro="" textlink="">
          <xdr:nvSpPr>
            <xdr:cNvPr id="19609" name="Option Button 153" hidden="1">
              <a:extLst>
                <a:ext uri="{63B3BB69-23CF-44E3-9099-C40C66FF867C}">
                  <a14:compatExt spid="_x0000_s19609"/>
                </a:ext>
                <a:ext uri="{FF2B5EF4-FFF2-40B4-BE49-F238E27FC236}">
                  <a16:creationId xmlns:a16="http://schemas.microsoft.com/office/drawing/2014/main" id="{00000000-0008-0000-0300-000099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863600</xdr:colOff>
          <xdr:row>102</xdr:row>
          <xdr:rowOff>50800</xdr:rowOff>
        </xdr:from>
        <xdr:to>
          <xdr:col>5</xdr:col>
          <xdr:colOff>1244600</xdr:colOff>
          <xdr:row>102</xdr:row>
          <xdr:rowOff>228600</xdr:rowOff>
        </xdr:to>
        <xdr:sp macro="" textlink="">
          <xdr:nvSpPr>
            <xdr:cNvPr id="19610" name="Option Button 154" hidden="1">
              <a:extLst>
                <a:ext uri="{63B3BB69-23CF-44E3-9099-C40C66FF867C}">
                  <a14:compatExt spid="_x0000_s19610"/>
                </a:ext>
                <a:ext uri="{FF2B5EF4-FFF2-40B4-BE49-F238E27FC236}">
                  <a16:creationId xmlns:a16="http://schemas.microsoft.com/office/drawing/2014/main" id="{00000000-0008-0000-0300-00009A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596900</xdr:colOff>
          <xdr:row>105</xdr:row>
          <xdr:rowOff>25400</xdr:rowOff>
        </xdr:from>
        <xdr:to>
          <xdr:col>2</xdr:col>
          <xdr:colOff>977900</xdr:colOff>
          <xdr:row>105</xdr:row>
          <xdr:rowOff>228600</xdr:rowOff>
        </xdr:to>
        <xdr:sp macro="" textlink="">
          <xdr:nvSpPr>
            <xdr:cNvPr id="19619" name="Option Button 163" hidden="1">
              <a:extLst>
                <a:ext uri="{63B3BB69-23CF-44E3-9099-C40C66FF867C}">
                  <a14:compatExt spid="_x0000_s19619"/>
                </a:ext>
                <a:ext uri="{FF2B5EF4-FFF2-40B4-BE49-F238E27FC236}">
                  <a16:creationId xmlns:a16="http://schemas.microsoft.com/office/drawing/2014/main" id="{00000000-0008-0000-0300-0000A3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105</xdr:row>
          <xdr:rowOff>25400</xdr:rowOff>
        </xdr:from>
        <xdr:to>
          <xdr:col>3</xdr:col>
          <xdr:colOff>927100</xdr:colOff>
          <xdr:row>105</xdr:row>
          <xdr:rowOff>228600</xdr:rowOff>
        </xdr:to>
        <xdr:sp macro="" textlink="">
          <xdr:nvSpPr>
            <xdr:cNvPr id="19620" name="Option Button 164" hidden="1">
              <a:extLst>
                <a:ext uri="{63B3BB69-23CF-44E3-9099-C40C66FF867C}">
                  <a14:compatExt spid="_x0000_s19620"/>
                </a:ext>
                <a:ext uri="{FF2B5EF4-FFF2-40B4-BE49-F238E27FC236}">
                  <a16:creationId xmlns:a16="http://schemas.microsoft.com/office/drawing/2014/main" id="{00000000-0008-0000-0300-0000A4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105</xdr:row>
          <xdr:rowOff>12700</xdr:rowOff>
        </xdr:from>
        <xdr:to>
          <xdr:col>4</xdr:col>
          <xdr:colOff>1054100</xdr:colOff>
          <xdr:row>105</xdr:row>
          <xdr:rowOff>241300</xdr:rowOff>
        </xdr:to>
        <xdr:sp macro="" textlink="">
          <xdr:nvSpPr>
            <xdr:cNvPr id="19621" name="Option Button 165" hidden="1">
              <a:extLst>
                <a:ext uri="{63B3BB69-23CF-44E3-9099-C40C66FF867C}">
                  <a14:compatExt spid="_x0000_s19621"/>
                </a:ext>
                <a:ext uri="{FF2B5EF4-FFF2-40B4-BE49-F238E27FC236}">
                  <a16:creationId xmlns:a16="http://schemas.microsoft.com/office/drawing/2014/main" id="{00000000-0008-0000-0300-0000A5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850900</xdr:colOff>
          <xdr:row>105</xdr:row>
          <xdr:rowOff>12700</xdr:rowOff>
        </xdr:from>
        <xdr:to>
          <xdr:col>5</xdr:col>
          <xdr:colOff>1231900</xdr:colOff>
          <xdr:row>105</xdr:row>
          <xdr:rowOff>228600</xdr:rowOff>
        </xdr:to>
        <xdr:sp macro="" textlink="">
          <xdr:nvSpPr>
            <xdr:cNvPr id="19622" name="Option Button 166" hidden="1">
              <a:extLst>
                <a:ext uri="{63B3BB69-23CF-44E3-9099-C40C66FF867C}">
                  <a14:compatExt spid="_x0000_s19622"/>
                </a:ext>
                <a:ext uri="{FF2B5EF4-FFF2-40B4-BE49-F238E27FC236}">
                  <a16:creationId xmlns:a16="http://schemas.microsoft.com/office/drawing/2014/main" id="{00000000-0008-0000-0300-0000A6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96</xdr:row>
          <xdr:rowOff>254000</xdr:rowOff>
        </xdr:from>
        <xdr:to>
          <xdr:col>6</xdr:col>
          <xdr:colOff>0</xdr:colOff>
          <xdr:row>98</xdr:row>
          <xdr:rowOff>0</xdr:rowOff>
        </xdr:to>
        <xdr:sp macro="" textlink="">
          <xdr:nvSpPr>
            <xdr:cNvPr id="19623" name="Group Box 167" hidden="1">
              <a:extLst>
                <a:ext uri="{63B3BB69-23CF-44E3-9099-C40C66FF867C}">
                  <a14:compatExt spid="_x0000_s19623"/>
                </a:ext>
                <a:ext uri="{FF2B5EF4-FFF2-40B4-BE49-F238E27FC236}">
                  <a16:creationId xmlns:a16="http://schemas.microsoft.com/office/drawing/2014/main" id="{00000000-0008-0000-0300-0000A7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6870700</xdr:colOff>
          <xdr:row>107</xdr:row>
          <xdr:rowOff>12700</xdr:rowOff>
        </xdr:from>
        <xdr:to>
          <xdr:col>6</xdr:col>
          <xdr:colOff>12700</xdr:colOff>
          <xdr:row>108</xdr:row>
          <xdr:rowOff>0</xdr:rowOff>
        </xdr:to>
        <xdr:sp macro="" textlink="">
          <xdr:nvSpPr>
            <xdr:cNvPr id="19624" name="Group Box 168" hidden="1">
              <a:extLst>
                <a:ext uri="{63B3BB69-23CF-44E3-9099-C40C66FF867C}">
                  <a14:compatExt spid="_x0000_s19624"/>
                </a:ext>
                <a:ext uri="{FF2B5EF4-FFF2-40B4-BE49-F238E27FC236}">
                  <a16:creationId xmlns:a16="http://schemas.microsoft.com/office/drawing/2014/main" id="{00000000-0008-0000-0300-0000A8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6870700</xdr:colOff>
          <xdr:row>108</xdr:row>
          <xdr:rowOff>0</xdr:rowOff>
        </xdr:from>
        <xdr:to>
          <xdr:col>6</xdr:col>
          <xdr:colOff>0</xdr:colOff>
          <xdr:row>109</xdr:row>
          <xdr:rowOff>0</xdr:rowOff>
        </xdr:to>
        <xdr:sp macro="" textlink="">
          <xdr:nvSpPr>
            <xdr:cNvPr id="19625" name="Group Box 169" hidden="1">
              <a:extLst>
                <a:ext uri="{63B3BB69-23CF-44E3-9099-C40C66FF867C}">
                  <a14:compatExt spid="_x0000_s19625"/>
                </a:ext>
                <a:ext uri="{FF2B5EF4-FFF2-40B4-BE49-F238E27FC236}">
                  <a16:creationId xmlns:a16="http://schemas.microsoft.com/office/drawing/2014/main" id="{00000000-0008-0000-0300-0000A9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107</xdr:row>
          <xdr:rowOff>25400</xdr:rowOff>
        </xdr:from>
        <xdr:to>
          <xdr:col>2</xdr:col>
          <xdr:colOff>990600</xdr:colOff>
          <xdr:row>107</xdr:row>
          <xdr:rowOff>241300</xdr:rowOff>
        </xdr:to>
        <xdr:sp macro="" textlink="">
          <xdr:nvSpPr>
            <xdr:cNvPr id="19630" name="Option Button 174" hidden="1">
              <a:extLst>
                <a:ext uri="{63B3BB69-23CF-44E3-9099-C40C66FF867C}">
                  <a14:compatExt spid="_x0000_s19630"/>
                </a:ext>
                <a:ext uri="{FF2B5EF4-FFF2-40B4-BE49-F238E27FC236}">
                  <a16:creationId xmlns:a16="http://schemas.microsoft.com/office/drawing/2014/main" id="{00000000-0008-0000-0300-0000AE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107</xdr:row>
          <xdr:rowOff>25400</xdr:rowOff>
        </xdr:from>
        <xdr:to>
          <xdr:col>3</xdr:col>
          <xdr:colOff>927100</xdr:colOff>
          <xdr:row>107</xdr:row>
          <xdr:rowOff>241300</xdr:rowOff>
        </xdr:to>
        <xdr:sp macro="" textlink="">
          <xdr:nvSpPr>
            <xdr:cNvPr id="19631" name="Option Button 175" hidden="1">
              <a:extLst>
                <a:ext uri="{63B3BB69-23CF-44E3-9099-C40C66FF867C}">
                  <a14:compatExt spid="_x0000_s19631"/>
                </a:ext>
                <a:ext uri="{FF2B5EF4-FFF2-40B4-BE49-F238E27FC236}">
                  <a16:creationId xmlns:a16="http://schemas.microsoft.com/office/drawing/2014/main" id="{00000000-0008-0000-0300-0000AF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107</xdr:row>
          <xdr:rowOff>25400</xdr:rowOff>
        </xdr:from>
        <xdr:to>
          <xdr:col>4</xdr:col>
          <xdr:colOff>1066800</xdr:colOff>
          <xdr:row>107</xdr:row>
          <xdr:rowOff>241300</xdr:rowOff>
        </xdr:to>
        <xdr:sp macro="" textlink="">
          <xdr:nvSpPr>
            <xdr:cNvPr id="19632" name="Option Button 176" hidden="1">
              <a:extLst>
                <a:ext uri="{63B3BB69-23CF-44E3-9099-C40C66FF867C}">
                  <a14:compatExt spid="_x0000_s19632"/>
                </a:ext>
                <a:ext uri="{FF2B5EF4-FFF2-40B4-BE49-F238E27FC236}">
                  <a16:creationId xmlns:a16="http://schemas.microsoft.com/office/drawing/2014/main" id="{00000000-0008-0000-0300-0000B0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850900</xdr:colOff>
          <xdr:row>107</xdr:row>
          <xdr:rowOff>25400</xdr:rowOff>
        </xdr:from>
        <xdr:to>
          <xdr:col>5</xdr:col>
          <xdr:colOff>1231900</xdr:colOff>
          <xdr:row>107</xdr:row>
          <xdr:rowOff>241300</xdr:rowOff>
        </xdr:to>
        <xdr:sp macro="" textlink="">
          <xdr:nvSpPr>
            <xdr:cNvPr id="19633" name="Option Button 177" hidden="1">
              <a:extLst>
                <a:ext uri="{63B3BB69-23CF-44E3-9099-C40C66FF867C}">
                  <a14:compatExt spid="_x0000_s19633"/>
                </a:ext>
                <a:ext uri="{FF2B5EF4-FFF2-40B4-BE49-F238E27FC236}">
                  <a16:creationId xmlns:a16="http://schemas.microsoft.com/office/drawing/2014/main" id="{00000000-0008-0000-0300-0000B1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106</xdr:row>
          <xdr:rowOff>0</xdr:rowOff>
        </xdr:from>
        <xdr:to>
          <xdr:col>6</xdr:col>
          <xdr:colOff>0</xdr:colOff>
          <xdr:row>107</xdr:row>
          <xdr:rowOff>0</xdr:rowOff>
        </xdr:to>
        <xdr:sp macro="" textlink="">
          <xdr:nvSpPr>
            <xdr:cNvPr id="19639" name="Group Box 183" hidden="1">
              <a:extLst>
                <a:ext uri="{63B3BB69-23CF-44E3-9099-C40C66FF867C}">
                  <a14:compatExt spid="_x0000_s19639"/>
                </a:ext>
                <a:ext uri="{FF2B5EF4-FFF2-40B4-BE49-F238E27FC236}">
                  <a16:creationId xmlns:a16="http://schemas.microsoft.com/office/drawing/2014/main" id="{00000000-0008-0000-0300-0000B7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6883400</xdr:colOff>
          <xdr:row>110</xdr:row>
          <xdr:rowOff>0</xdr:rowOff>
        </xdr:from>
        <xdr:to>
          <xdr:col>6</xdr:col>
          <xdr:colOff>0</xdr:colOff>
          <xdr:row>111</xdr:row>
          <xdr:rowOff>0</xdr:rowOff>
        </xdr:to>
        <xdr:sp macro="" textlink="">
          <xdr:nvSpPr>
            <xdr:cNvPr id="19640" name="Group Box 184" hidden="1">
              <a:extLst>
                <a:ext uri="{63B3BB69-23CF-44E3-9099-C40C66FF867C}">
                  <a14:compatExt spid="_x0000_s19640"/>
                </a:ext>
                <a:ext uri="{FF2B5EF4-FFF2-40B4-BE49-F238E27FC236}">
                  <a16:creationId xmlns:a16="http://schemas.microsoft.com/office/drawing/2014/main" id="{00000000-0008-0000-0300-0000B8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93</xdr:row>
          <xdr:rowOff>12700</xdr:rowOff>
        </xdr:from>
        <xdr:to>
          <xdr:col>5</xdr:col>
          <xdr:colOff>1981200</xdr:colOff>
          <xdr:row>94</xdr:row>
          <xdr:rowOff>12700</xdr:rowOff>
        </xdr:to>
        <xdr:sp macro="" textlink="">
          <xdr:nvSpPr>
            <xdr:cNvPr id="19641" name="Group Box 185" hidden="1">
              <a:extLst>
                <a:ext uri="{63B3BB69-23CF-44E3-9099-C40C66FF867C}">
                  <a14:compatExt spid="_x0000_s19641"/>
                </a:ext>
                <a:ext uri="{FF2B5EF4-FFF2-40B4-BE49-F238E27FC236}">
                  <a16:creationId xmlns:a16="http://schemas.microsoft.com/office/drawing/2014/main" id="{00000000-0008-0000-0300-0000B9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596900</xdr:colOff>
          <xdr:row>93</xdr:row>
          <xdr:rowOff>50800</xdr:rowOff>
        </xdr:from>
        <xdr:to>
          <xdr:col>2</xdr:col>
          <xdr:colOff>1244600</xdr:colOff>
          <xdr:row>93</xdr:row>
          <xdr:rowOff>215900</xdr:rowOff>
        </xdr:to>
        <xdr:sp macro="" textlink="">
          <xdr:nvSpPr>
            <xdr:cNvPr id="19658" name="Option Button 202" hidden="1">
              <a:extLst>
                <a:ext uri="{63B3BB69-23CF-44E3-9099-C40C66FF867C}">
                  <a14:compatExt spid="_x0000_s19658"/>
                </a:ext>
                <a:ext uri="{FF2B5EF4-FFF2-40B4-BE49-F238E27FC236}">
                  <a16:creationId xmlns:a16="http://schemas.microsoft.com/office/drawing/2014/main" id="{00000000-0008-0000-0300-0000CA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93</xdr:row>
          <xdr:rowOff>38100</xdr:rowOff>
        </xdr:from>
        <xdr:to>
          <xdr:col>3</xdr:col>
          <xdr:colOff>1257300</xdr:colOff>
          <xdr:row>93</xdr:row>
          <xdr:rowOff>215900</xdr:rowOff>
        </xdr:to>
        <xdr:sp macro="" textlink="">
          <xdr:nvSpPr>
            <xdr:cNvPr id="19659" name="Option Button 203" hidden="1">
              <a:extLst>
                <a:ext uri="{63B3BB69-23CF-44E3-9099-C40C66FF867C}">
                  <a14:compatExt spid="_x0000_s19659"/>
                </a:ext>
                <a:ext uri="{FF2B5EF4-FFF2-40B4-BE49-F238E27FC236}">
                  <a16:creationId xmlns:a16="http://schemas.microsoft.com/office/drawing/2014/main" id="{00000000-0008-0000-0300-0000CB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698500</xdr:colOff>
          <xdr:row>93</xdr:row>
          <xdr:rowOff>38100</xdr:rowOff>
        </xdr:from>
        <xdr:to>
          <xdr:col>4</xdr:col>
          <xdr:colOff>1346200</xdr:colOff>
          <xdr:row>93</xdr:row>
          <xdr:rowOff>228600</xdr:rowOff>
        </xdr:to>
        <xdr:sp macro="" textlink="">
          <xdr:nvSpPr>
            <xdr:cNvPr id="19660" name="Option Button 204" hidden="1">
              <a:extLst>
                <a:ext uri="{63B3BB69-23CF-44E3-9099-C40C66FF867C}">
                  <a14:compatExt spid="_x0000_s19660"/>
                </a:ext>
                <a:ext uri="{FF2B5EF4-FFF2-40B4-BE49-F238E27FC236}">
                  <a16:creationId xmlns:a16="http://schemas.microsoft.com/office/drawing/2014/main" id="{00000000-0008-0000-0300-0000CC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863600</xdr:colOff>
          <xdr:row>93</xdr:row>
          <xdr:rowOff>38100</xdr:rowOff>
        </xdr:from>
        <xdr:to>
          <xdr:col>5</xdr:col>
          <xdr:colOff>1270000</xdr:colOff>
          <xdr:row>93</xdr:row>
          <xdr:rowOff>215900</xdr:rowOff>
        </xdr:to>
        <xdr:sp macro="" textlink="">
          <xdr:nvSpPr>
            <xdr:cNvPr id="19661" name="Option Button 205" hidden="1">
              <a:extLst>
                <a:ext uri="{63B3BB69-23CF-44E3-9099-C40C66FF867C}">
                  <a14:compatExt spid="_x0000_s19661"/>
                </a:ext>
                <a:ext uri="{FF2B5EF4-FFF2-40B4-BE49-F238E27FC236}">
                  <a16:creationId xmlns:a16="http://schemas.microsoft.com/office/drawing/2014/main" id="{00000000-0008-0000-0300-0000CD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596900</xdr:colOff>
          <xdr:row>94</xdr:row>
          <xdr:rowOff>38100</xdr:rowOff>
        </xdr:from>
        <xdr:to>
          <xdr:col>2</xdr:col>
          <xdr:colOff>1079500</xdr:colOff>
          <xdr:row>94</xdr:row>
          <xdr:rowOff>228600</xdr:rowOff>
        </xdr:to>
        <xdr:sp macro="" textlink="">
          <xdr:nvSpPr>
            <xdr:cNvPr id="19663" name="Option Button 207" hidden="1">
              <a:extLst>
                <a:ext uri="{63B3BB69-23CF-44E3-9099-C40C66FF867C}">
                  <a14:compatExt spid="_x0000_s19663"/>
                </a:ext>
                <a:ext uri="{FF2B5EF4-FFF2-40B4-BE49-F238E27FC236}">
                  <a16:creationId xmlns:a16="http://schemas.microsoft.com/office/drawing/2014/main" id="{00000000-0008-0000-0300-0000CF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94</xdr:row>
          <xdr:rowOff>38100</xdr:rowOff>
        </xdr:from>
        <xdr:to>
          <xdr:col>3</xdr:col>
          <xdr:colOff>1016000</xdr:colOff>
          <xdr:row>94</xdr:row>
          <xdr:rowOff>215900</xdr:rowOff>
        </xdr:to>
        <xdr:sp macro="" textlink="">
          <xdr:nvSpPr>
            <xdr:cNvPr id="19664" name="Option Button 208" hidden="1">
              <a:extLst>
                <a:ext uri="{63B3BB69-23CF-44E3-9099-C40C66FF867C}">
                  <a14:compatExt spid="_x0000_s19664"/>
                </a:ext>
                <a:ext uri="{FF2B5EF4-FFF2-40B4-BE49-F238E27FC236}">
                  <a16:creationId xmlns:a16="http://schemas.microsoft.com/office/drawing/2014/main" id="{00000000-0008-0000-0300-0000D0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94</xdr:row>
          <xdr:rowOff>38100</xdr:rowOff>
        </xdr:from>
        <xdr:to>
          <xdr:col>4</xdr:col>
          <xdr:colOff>1308100</xdr:colOff>
          <xdr:row>94</xdr:row>
          <xdr:rowOff>215900</xdr:rowOff>
        </xdr:to>
        <xdr:sp macro="" textlink="">
          <xdr:nvSpPr>
            <xdr:cNvPr id="19666" name="Option Button 210" hidden="1">
              <a:extLst>
                <a:ext uri="{63B3BB69-23CF-44E3-9099-C40C66FF867C}">
                  <a14:compatExt spid="_x0000_s19666"/>
                </a:ext>
                <a:ext uri="{FF2B5EF4-FFF2-40B4-BE49-F238E27FC236}">
                  <a16:creationId xmlns:a16="http://schemas.microsoft.com/office/drawing/2014/main" id="{00000000-0008-0000-0300-0000D2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850900</xdr:colOff>
          <xdr:row>94</xdr:row>
          <xdr:rowOff>50800</xdr:rowOff>
        </xdr:from>
        <xdr:to>
          <xdr:col>5</xdr:col>
          <xdr:colOff>1397000</xdr:colOff>
          <xdr:row>94</xdr:row>
          <xdr:rowOff>228600</xdr:rowOff>
        </xdr:to>
        <xdr:sp macro="" textlink="">
          <xdr:nvSpPr>
            <xdr:cNvPr id="19667" name="Option Button 211" hidden="1">
              <a:extLst>
                <a:ext uri="{63B3BB69-23CF-44E3-9099-C40C66FF867C}">
                  <a14:compatExt spid="_x0000_s19667"/>
                </a:ext>
                <a:ext uri="{FF2B5EF4-FFF2-40B4-BE49-F238E27FC236}">
                  <a16:creationId xmlns:a16="http://schemas.microsoft.com/office/drawing/2014/main" id="{00000000-0008-0000-0300-0000D3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95</xdr:row>
          <xdr:rowOff>38100</xdr:rowOff>
        </xdr:from>
        <xdr:to>
          <xdr:col>2</xdr:col>
          <xdr:colOff>1104900</xdr:colOff>
          <xdr:row>95</xdr:row>
          <xdr:rowOff>215900</xdr:rowOff>
        </xdr:to>
        <xdr:sp macro="" textlink="">
          <xdr:nvSpPr>
            <xdr:cNvPr id="19668" name="Option Button 212" hidden="1">
              <a:extLst>
                <a:ext uri="{63B3BB69-23CF-44E3-9099-C40C66FF867C}">
                  <a14:compatExt spid="_x0000_s19668"/>
                </a:ext>
                <a:ext uri="{FF2B5EF4-FFF2-40B4-BE49-F238E27FC236}">
                  <a16:creationId xmlns:a16="http://schemas.microsoft.com/office/drawing/2014/main" id="{00000000-0008-0000-0300-0000D4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558800</xdr:colOff>
          <xdr:row>95</xdr:row>
          <xdr:rowOff>25400</xdr:rowOff>
        </xdr:from>
        <xdr:to>
          <xdr:col>3</xdr:col>
          <xdr:colOff>1054100</xdr:colOff>
          <xdr:row>95</xdr:row>
          <xdr:rowOff>228600</xdr:rowOff>
        </xdr:to>
        <xdr:sp macro="" textlink="">
          <xdr:nvSpPr>
            <xdr:cNvPr id="19669" name="Option Button 213" hidden="1">
              <a:extLst>
                <a:ext uri="{63B3BB69-23CF-44E3-9099-C40C66FF867C}">
                  <a14:compatExt spid="_x0000_s19669"/>
                </a:ext>
                <a:ext uri="{FF2B5EF4-FFF2-40B4-BE49-F238E27FC236}">
                  <a16:creationId xmlns:a16="http://schemas.microsoft.com/office/drawing/2014/main" id="{00000000-0008-0000-0300-0000D5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698500</xdr:colOff>
          <xdr:row>95</xdr:row>
          <xdr:rowOff>25400</xdr:rowOff>
        </xdr:from>
        <xdr:to>
          <xdr:col>4</xdr:col>
          <xdr:colOff>1473200</xdr:colOff>
          <xdr:row>95</xdr:row>
          <xdr:rowOff>228600</xdr:rowOff>
        </xdr:to>
        <xdr:sp macro="" textlink="">
          <xdr:nvSpPr>
            <xdr:cNvPr id="19670" name="Option Button 214" hidden="1">
              <a:extLst>
                <a:ext uri="{63B3BB69-23CF-44E3-9099-C40C66FF867C}">
                  <a14:compatExt spid="_x0000_s19670"/>
                </a:ext>
                <a:ext uri="{FF2B5EF4-FFF2-40B4-BE49-F238E27FC236}">
                  <a16:creationId xmlns:a16="http://schemas.microsoft.com/office/drawing/2014/main" id="{00000000-0008-0000-0300-0000D6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850900</xdr:colOff>
          <xdr:row>95</xdr:row>
          <xdr:rowOff>50800</xdr:rowOff>
        </xdr:from>
        <xdr:to>
          <xdr:col>5</xdr:col>
          <xdr:colOff>1384300</xdr:colOff>
          <xdr:row>95</xdr:row>
          <xdr:rowOff>228600</xdr:rowOff>
        </xdr:to>
        <xdr:sp macro="" textlink="">
          <xdr:nvSpPr>
            <xdr:cNvPr id="19671" name="Option Button 215" hidden="1">
              <a:extLst>
                <a:ext uri="{63B3BB69-23CF-44E3-9099-C40C66FF867C}">
                  <a14:compatExt spid="_x0000_s19671"/>
                </a:ext>
                <a:ext uri="{FF2B5EF4-FFF2-40B4-BE49-F238E27FC236}">
                  <a16:creationId xmlns:a16="http://schemas.microsoft.com/office/drawing/2014/main" id="{00000000-0008-0000-0300-0000D7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596900</xdr:colOff>
          <xdr:row>97</xdr:row>
          <xdr:rowOff>38100</xdr:rowOff>
        </xdr:from>
        <xdr:to>
          <xdr:col>2</xdr:col>
          <xdr:colOff>1066800</xdr:colOff>
          <xdr:row>97</xdr:row>
          <xdr:rowOff>228600</xdr:rowOff>
        </xdr:to>
        <xdr:sp macro="" textlink="">
          <xdr:nvSpPr>
            <xdr:cNvPr id="19676" name="Option Button 220" hidden="1">
              <a:extLst>
                <a:ext uri="{63B3BB69-23CF-44E3-9099-C40C66FF867C}">
                  <a14:compatExt spid="_x0000_s19676"/>
                </a:ext>
                <a:ext uri="{FF2B5EF4-FFF2-40B4-BE49-F238E27FC236}">
                  <a16:creationId xmlns:a16="http://schemas.microsoft.com/office/drawing/2014/main" id="{00000000-0008-0000-0300-0000DC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97</xdr:row>
          <xdr:rowOff>38100</xdr:rowOff>
        </xdr:from>
        <xdr:to>
          <xdr:col>3</xdr:col>
          <xdr:colOff>1054100</xdr:colOff>
          <xdr:row>97</xdr:row>
          <xdr:rowOff>215900</xdr:rowOff>
        </xdr:to>
        <xdr:sp macro="" textlink="">
          <xdr:nvSpPr>
            <xdr:cNvPr id="19677" name="Option Button 221" hidden="1">
              <a:extLst>
                <a:ext uri="{63B3BB69-23CF-44E3-9099-C40C66FF867C}">
                  <a14:compatExt spid="_x0000_s19677"/>
                </a:ext>
                <a:ext uri="{FF2B5EF4-FFF2-40B4-BE49-F238E27FC236}">
                  <a16:creationId xmlns:a16="http://schemas.microsoft.com/office/drawing/2014/main" id="{00000000-0008-0000-0300-0000DD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97</xdr:row>
          <xdr:rowOff>38100</xdr:rowOff>
        </xdr:from>
        <xdr:to>
          <xdr:col>4</xdr:col>
          <xdr:colOff>1219200</xdr:colOff>
          <xdr:row>97</xdr:row>
          <xdr:rowOff>228600</xdr:rowOff>
        </xdr:to>
        <xdr:sp macro="" textlink="">
          <xdr:nvSpPr>
            <xdr:cNvPr id="19678" name="Option Button 222" hidden="1">
              <a:extLst>
                <a:ext uri="{63B3BB69-23CF-44E3-9099-C40C66FF867C}">
                  <a14:compatExt spid="_x0000_s19678"/>
                </a:ext>
                <a:ext uri="{FF2B5EF4-FFF2-40B4-BE49-F238E27FC236}">
                  <a16:creationId xmlns:a16="http://schemas.microsoft.com/office/drawing/2014/main" id="{00000000-0008-0000-0300-0000DE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863600</xdr:colOff>
          <xdr:row>97</xdr:row>
          <xdr:rowOff>38100</xdr:rowOff>
        </xdr:from>
        <xdr:to>
          <xdr:col>5</xdr:col>
          <xdr:colOff>1422400</xdr:colOff>
          <xdr:row>97</xdr:row>
          <xdr:rowOff>215900</xdr:rowOff>
        </xdr:to>
        <xdr:sp macro="" textlink="">
          <xdr:nvSpPr>
            <xdr:cNvPr id="19679" name="Option Button 223" hidden="1">
              <a:extLst>
                <a:ext uri="{63B3BB69-23CF-44E3-9099-C40C66FF867C}">
                  <a14:compatExt spid="_x0000_s19679"/>
                </a:ext>
                <a:ext uri="{FF2B5EF4-FFF2-40B4-BE49-F238E27FC236}">
                  <a16:creationId xmlns:a16="http://schemas.microsoft.com/office/drawing/2014/main" id="{00000000-0008-0000-0300-0000DF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100</xdr:row>
          <xdr:rowOff>38100</xdr:rowOff>
        </xdr:from>
        <xdr:to>
          <xdr:col>2</xdr:col>
          <xdr:colOff>1130300</xdr:colOff>
          <xdr:row>100</xdr:row>
          <xdr:rowOff>228600</xdr:rowOff>
        </xdr:to>
        <xdr:sp macro="" textlink="">
          <xdr:nvSpPr>
            <xdr:cNvPr id="19684" name="Option Button 228" hidden="1">
              <a:extLst>
                <a:ext uri="{63B3BB69-23CF-44E3-9099-C40C66FF867C}">
                  <a14:compatExt spid="_x0000_s19684"/>
                </a:ext>
                <a:ext uri="{FF2B5EF4-FFF2-40B4-BE49-F238E27FC236}">
                  <a16:creationId xmlns:a16="http://schemas.microsoft.com/office/drawing/2014/main" id="{00000000-0008-0000-0300-0000E4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100</xdr:row>
          <xdr:rowOff>38100</xdr:rowOff>
        </xdr:from>
        <xdr:to>
          <xdr:col>3</xdr:col>
          <xdr:colOff>939800</xdr:colOff>
          <xdr:row>100</xdr:row>
          <xdr:rowOff>241300</xdr:rowOff>
        </xdr:to>
        <xdr:sp macro="" textlink="">
          <xdr:nvSpPr>
            <xdr:cNvPr id="19685" name="Option Button 229" hidden="1">
              <a:extLst>
                <a:ext uri="{63B3BB69-23CF-44E3-9099-C40C66FF867C}">
                  <a14:compatExt spid="_x0000_s19685"/>
                </a:ext>
                <a:ext uri="{FF2B5EF4-FFF2-40B4-BE49-F238E27FC236}">
                  <a16:creationId xmlns:a16="http://schemas.microsoft.com/office/drawing/2014/main" id="{00000000-0008-0000-0300-0000E5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698500</xdr:colOff>
          <xdr:row>100</xdr:row>
          <xdr:rowOff>38100</xdr:rowOff>
        </xdr:from>
        <xdr:to>
          <xdr:col>4</xdr:col>
          <xdr:colOff>1244600</xdr:colOff>
          <xdr:row>100</xdr:row>
          <xdr:rowOff>228600</xdr:rowOff>
        </xdr:to>
        <xdr:sp macro="" textlink="">
          <xdr:nvSpPr>
            <xdr:cNvPr id="19686" name="Option Button 230" hidden="1">
              <a:extLst>
                <a:ext uri="{63B3BB69-23CF-44E3-9099-C40C66FF867C}">
                  <a14:compatExt spid="_x0000_s19686"/>
                </a:ext>
                <a:ext uri="{FF2B5EF4-FFF2-40B4-BE49-F238E27FC236}">
                  <a16:creationId xmlns:a16="http://schemas.microsoft.com/office/drawing/2014/main" id="{00000000-0008-0000-0300-0000E6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863600</xdr:colOff>
          <xdr:row>100</xdr:row>
          <xdr:rowOff>50800</xdr:rowOff>
        </xdr:from>
        <xdr:to>
          <xdr:col>5</xdr:col>
          <xdr:colOff>1333500</xdr:colOff>
          <xdr:row>100</xdr:row>
          <xdr:rowOff>215900</xdr:rowOff>
        </xdr:to>
        <xdr:sp macro="" textlink="">
          <xdr:nvSpPr>
            <xdr:cNvPr id="19687" name="Option Button 231" hidden="1">
              <a:extLst>
                <a:ext uri="{63B3BB69-23CF-44E3-9099-C40C66FF867C}">
                  <a14:compatExt spid="_x0000_s19687"/>
                </a:ext>
                <a:ext uri="{FF2B5EF4-FFF2-40B4-BE49-F238E27FC236}">
                  <a16:creationId xmlns:a16="http://schemas.microsoft.com/office/drawing/2014/main" id="{00000000-0008-0000-0300-0000E7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596900</xdr:colOff>
          <xdr:row>101</xdr:row>
          <xdr:rowOff>38100</xdr:rowOff>
        </xdr:from>
        <xdr:to>
          <xdr:col>2</xdr:col>
          <xdr:colOff>977900</xdr:colOff>
          <xdr:row>101</xdr:row>
          <xdr:rowOff>228600</xdr:rowOff>
        </xdr:to>
        <xdr:sp macro="" textlink="">
          <xdr:nvSpPr>
            <xdr:cNvPr id="19688" name="Option Button 232" hidden="1">
              <a:extLst>
                <a:ext uri="{63B3BB69-23CF-44E3-9099-C40C66FF867C}">
                  <a14:compatExt spid="_x0000_s19688"/>
                </a:ext>
                <a:ext uri="{FF2B5EF4-FFF2-40B4-BE49-F238E27FC236}">
                  <a16:creationId xmlns:a16="http://schemas.microsoft.com/office/drawing/2014/main" id="{00000000-0008-0000-0300-0000E8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101</xdr:row>
          <xdr:rowOff>50800</xdr:rowOff>
        </xdr:from>
        <xdr:to>
          <xdr:col>3</xdr:col>
          <xdr:colOff>939800</xdr:colOff>
          <xdr:row>101</xdr:row>
          <xdr:rowOff>215900</xdr:rowOff>
        </xdr:to>
        <xdr:sp macro="" textlink="">
          <xdr:nvSpPr>
            <xdr:cNvPr id="19689" name="Option Button 233" hidden="1">
              <a:extLst>
                <a:ext uri="{63B3BB69-23CF-44E3-9099-C40C66FF867C}">
                  <a14:compatExt spid="_x0000_s19689"/>
                </a:ext>
                <a:ext uri="{FF2B5EF4-FFF2-40B4-BE49-F238E27FC236}">
                  <a16:creationId xmlns:a16="http://schemas.microsoft.com/office/drawing/2014/main" id="{00000000-0008-0000-0300-0000E9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101</xdr:row>
          <xdr:rowOff>38100</xdr:rowOff>
        </xdr:from>
        <xdr:to>
          <xdr:col>4</xdr:col>
          <xdr:colOff>1104900</xdr:colOff>
          <xdr:row>101</xdr:row>
          <xdr:rowOff>215900</xdr:rowOff>
        </xdr:to>
        <xdr:sp macro="" textlink="">
          <xdr:nvSpPr>
            <xdr:cNvPr id="19690" name="Option Button 234" hidden="1">
              <a:extLst>
                <a:ext uri="{63B3BB69-23CF-44E3-9099-C40C66FF867C}">
                  <a14:compatExt spid="_x0000_s19690"/>
                </a:ext>
                <a:ext uri="{FF2B5EF4-FFF2-40B4-BE49-F238E27FC236}">
                  <a16:creationId xmlns:a16="http://schemas.microsoft.com/office/drawing/2014/main" id="{00000000-0008-0000-0300-0000EA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863600</xdr:colOff>
          <xdr:row>101</xdr:row>
          <xdr:rowOff>38100</xdr:rowOff>
        </xdr:from>
        <xdr:to>
          <xdr:col>5</xdr:col>
          <xdr:colOff>1219200</xdr:colOff>
          <xdr:row>101</xdr:row>
          <xdr:rowOff>228600</xdr:rowOff>
        </xdr:to>
        <xdr:sp macro="" textlink="">
          <xdr:nvSpPr>
            <xdr:cNvPr id="19691" name="Option Button 235" hidden="1">
              <a:extLst>
                <a:ext uri="{63B3BB69-23CF-44E3-9099-C40C66FF867C}">
                  <a14:compatExt spid="_x0000_s19691"/>
                </a:ext>
                <a:ext uri="{FF2B5EF4-FFF2-40B4-BE49-F238E27FC236}">
                  <a16:creationId xmlns:a16="http://schemas.microsoft.com/office/drawing/2014/main" id="{00000000-0008-0000-0300-0000EB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596900</xdr:colOff>
          <xdr:row>103</xdr:row>
          <xdr:rowOff>38100</xdr:rowOff>
        </xdr:from>
        <xdr:to>
          <xdr:col>2</xdr:col>
          <xdr:colOff>927100</xdr:colOff>
          <xdr:row>103</xdr:row>
          <xdr:rowOff>228600</xdr:rowOff>
        </xdr:to>
        <xdr:sp macro="" textlink="">
          <xdr:nvSpPr>
            <xdr:cNvPr id="19692" name="Option Button 236" hidden="1">
              <a:extLst>
                <a:ext uri="{63B3BB69-23CF-44E3-9099-C40C66FF867C}">
                  <a14:compatExt spid="_x0000_s19692"/>
                </a:ext>
                <a:ext uri="{FF2B5EF4-FFF2-40B4-BE49-F238E27FC236}">
                  <a16:creationId xmlns:a16="http://schemas.microsoft.com/office/drawing/2014/main" id="{00000000-0008-0000-0300-0000EC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103</xdr:row>
          <xdr:rowOff>38100</xdr:rowOff>
        </xdr:from>
        <xdr:to>
          <xdr:col>3</xdr:col>
          <xdr:colOff>901700</xdr:colOff>
          <xdr:row>103</xdr:row>
          <xdr:rowOff>228600</xdr:rowOff>
        </xdr:to>
        <xdr:sp macro="" textlink="">
          <xdr:nvSpPr>
            <xdr:cNvPr id="19693" name="Option Button 237" hidden="1">
              <a:extLst>
                <a:ext uri="{63B3BB69-23CF-44E3-9099-C40C66FF867C}">
                  <a14:compatExt spid="_x0000_s19693"/>
                </a:ext>
                <a:ext uri="{FF2B5EF4-FFF2-40B4-BE49-F238E27FC236}">
                  <a16:creationId xmlns:a16="http://schemas.microsoft.com/office/drawing/2014/main" id="{00000000-0008-0000-0300-0000ED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698500</xdr:colOff>
          <xdr:row>103</xdr:row>
          <xdr:rowOff>38100</xdr:rowOff>
        </xdr:from>
        <xdr:to>
          <xdr:col>4</xdr:col>
          <xdr:colOff>1092200</xdr:colOff>
          <xdr:row>103</xdr:row>
          <xdr:rowOff>228600</xdr:rowOff>
        </xdr:to>
        <xdr:sp macro="" textlink="">
          <xdr:nvSpPr>
            <xdr:cNvPr id="19694" name="Option Button 238" hidden="1">
              <a:extLst>
                <a:ext uri="{63B3BB69-23CF-44E3-9099-C40C66FF867C}">
                  <a14:compatExt spid="_x0000_s19694"/>
                </a:ext>
                <a:ext uri="{FF2B5EF4-FFF2-40B4-BE49-F238E27FC236}">
                  <a16:creationId xmlns:a16="http://schemas.microsoft.com/office/drawing/2014/main" id="{00000000-0008-0000-0300-0000EE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863600</xdr:colOff>
          <xdr:row>103</xdr:row>
          <xdr:rowOff>38100</xdr:rowOff>
        </xdr:from>
        <xdr:to>
          <xdr:col>5</xdr:col>
          <xdr:colOff>1231900</xdr:colOff>
          <xdr:row>103</xdr:row>
          <xdr:rowOff>228600</xdr:rowOff>
        </xdr:to>
        <xdr:sp macro="" textlink="">
          <xdr:nvSpPr>
            <xdr:cNvPr id="19695" name="Option Button 239" hidden="1">
              <a:extLst>
                <a:ext uri="{63B3BB69-23CF-44E3-9099-C40C66FF867C}">
                  <a14:compatExt spid="_x0000_s19695"/>
                </a:ext>
                <a:ext uri="{FF2B5EF4-FFF2-40B4-BE49-F238E27FC236}">
                  <a16:creationId xmlns:a16="http://schemas.microsoft.com/office/drawing/2014/main" id="{00000000-0008-0000-0300-0000EF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104</xdr:row>
          <xdr:rowOff>38100</xdr:rowOff>
        </xdr:from>
        <xdr:to>
          <xdr:col>2</xdr:col>
          <xdr:colOff>1092200</xdr:colOff>
          <xdr:row>104</xdr:row>
          <xdr:rowOff>228600</xdr:rowOff>
        </xdr:to>
        <xdr:sp macro="" textlink="">
          <xdr:nvSpPr>
            <xdr:cNvPr id="19696" name="Option Button 240" hidden="1">
              <a:extLst>
                <a:ext uri="{63B3BB69-23CF-44E3-9099-C40C66FF867C}">
                  <a14:compatExt spid="_x0000_s19696"/>
                </a:ext>
                <a:ext uri="{FF2B5EF4-FFF2-40B4-BE49-F238E27FC236}">
                  <a16:creationId xmlns:a16="http://schemas.microsoft.com/office/drawing/2014/main" id="{00000000-0008-0000-0300-0000F0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104</xdr:row>
          <xdr:rowOff>50800</xdr:rowOff>
        </xdr:from>
        <xdr:to>
          <xdr:col>3</xdr:col>
          <xdr:colOff>1244600</xdr:colOff>
          <xdr:row>104</xdr:row>
          <xdr:rowOff>215900</xdr:rowOff>
        </xdr:to>
        <xdr:sp macro="" textlink="">
          <xdr:nvSpPr>
            <xdr:cNvPr id="19697" name="Option Button 241" hidden="1">
              <a:extLst>
                <a:ext uri="{63B3BB69-23CF-44E3-9099-C40C66FF867C}">
                  <a14:compatExt spid="_x0000_s19697"/>
                </a:ext>
                <a:ext uri="{FF2B5EF4-FFF2-40B4-BE49-F238E27FC236}">
                  <a16:creationId xmlns:a16="http://schemas.microsoft.com/office/drawing/2014/main" id="{00000000-0008-0000-0300-0000F1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104</xdr:row>
          <xdr:rowOff>50800</xdr:rowOff>
        </xdr:from>
        <xdr:to>
          <xdr:col>4</xdr:col>
          <xdr:colOff>1092200</xdr:colOff>
          <xdr:row>104</xdr:row>
          <xdr:rowOff>215900</xdr:rowOff>
        </xdr:to>
        <xdr:sp macro="" textlink="">
          <xdr:nvSpPr>
            <xdr:cNvPr id="19698" name="Option Button 242" hidden="1">
              <a:extLst>
                <a:ext uri="{63B3BB69-23CF-44E3-9099-C40C66FF867C}">
                  <a14:compatExt spid="_x0000_s19698"/>
                </a:ext>
                <a:ext uri="{FF2B5EF4-FFF2-40B4-BE49-F238E27FC236}">
                  <a16:creationId xmlns:a16="http://schemas.microsoft.com/office/drawing/2014/main" id="{00000000-0008-0000-0300-0000F2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863600</xdr:colOff>
          <xdr:row>104</xdr:row>
          <xdr:rowOff>38100</xdr:rowOff>
        </xdr:from>
        <xdr:to>
          <xdr:col>5</xdr:col>
          <xdr:colOff>1270000</xdr:colOff>
          <xdr:row>104</xdr:row>
          <xdr:rowOff>241300</xdr:rowOff>
        </xdr:to>
        <xdr:sp macro="" textlink="">
          <xdr:nvSpPr>
            <xdr:cNvPr id="19699" name="Option Button 243" hidden="1">
              <a:extLst>
                <a:ext uri="{63B3BB69-23CF-44E3-9099-C40C66FF867C}">
                  <a14:compatExt spid="_x0000_s19699"/>
                </a:ext>
                <a:ext uri="{FF2B5EF4-FFF2-40B4-BE49-F238E27FC236}">
                  <a16:creationId xmlns:a16="http://schemas.microsoft.com/office/drawing/2014/main" id="{00000000-0008-0000-0300-0000F3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596900</xdr:colOff>
          <xdr:row>106</xdr:row>
          <xdr:rowOff>50800</xdr:rowOff>
        </xdr:from>
        <xdr:to>
          <xdr:col>2</xdr:col>
          <xdr:colOff>1054100</xdr:colOff>
          <xdr:row>106</xdr:row>
          <xdr:rowOff>228600</xdr:rowOff>
        </xdr:to>
        <xdr:sp macro="" textlink="">
          <xdr:nvSpPr>
            <xdr:cNvPr id="19700" name="Option Button 244" hidden="1">
              <a:extLst>
                <a:ext uri="{63B3BB69-23CF-44E3-9099-C40C66FF867C}">
                  <a14:compatExt spid="_x0000_s19700"/>
                </a:ext>
                <a:ext uri="{FF2B5EF4-FFF2-40B4-BE49-F238E27FC236}">
                  <a16:creationId xmlns:a16="http://schemas.microsoft.com/office/drawing/2014/main" id="{00000000-0008-0000-0300-0000F4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106</xdr:row>
          <xdr:rowOff>50800</xdr:rowOff>
        </xdr:from>
        <xdr:to>
          <xdr:col>3</xdr:col>
          <xdr:colOff>914400</xdr:colOff>
          <xdr:row>106</xdr:row>
          <xdr:rowOff>228600</xdr:rowOff>
        </xdr:to>
        <xdr:sp macro="" textlink="">
          <xdr:nvSpPr>
            <xdr:cNvPr id="19701" name="Option Button 245" hidden="1">
              <a:extLst>
                <a:ext uri="{63B3BB69-23CF-44E3-9099-C40C66FF867C}">
                  <a14:compatExt spid="_x0000_s19701"/>
                </a:ext>
                <a:ext uri="{FF2B5EF4-FFF2-40B4-BE49-F238E27FC236}">
                  <a16:creationId xmlns:a16="http://schemas.microsoft.com/office/drawing/2014/main" id="{00000000-0008-0000-0300-0000F5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106</xdr:row>
          <xdr:rowOff>38100</xdr:rowOff>
        </xdr:from>
        <xdr:to>
          <xdr:col>4</xdr:col>
          <xdr:colOff>1117600</xdr:colOff>
          <xdr:row>106</xdr:row>
          <xdr:rowOff>215900</xdr:rowOff>
        </xdr:to>
        <xdr:sp macro="" textlink="">
          <xdr:nvSpPr>
            <xdr:cNvPr id="19702" name="Option Button 246" hidden="1">
              <a:extLst>
                <a:ext uri="{63B3BB69-23CF-44E3-9099-C40C66FF867C}">
                  <a14:compatExt spid="_x0000_s19702"/>
                </a:ext>
                <a:ext uri="{FF2B5EF4-FFF2-40B4-BE49-F238E27FC236}">
                  <a16:creationId xmlns:a16="http://schemas.microsoft.com/office/drawing/2014/main" id="{00000000-0008-0000-0300-0000F6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850900</xdr:colOff>
          <xdr:row>106</xdr:row>
          <xdr:rowOff>38100</xdr:rowOff>
        </xdr:from>
        <xdr:to>
          <xdr:col>5</xdr:col>
          <xdr:colOff>1295400</xdr:colOff>
          <xdr:row>106</xdr:row>
          <xdr:rowOff>228600</xdr:rowOff>
        </xdr:to>
        <xdr:sp macro="" textlink="">
          <xdr:nvSpPr>
            <xdr:cNvPr id="19703" name="Option Button 247" hidden="1">
              <a:extLst>
                <a:ext uri="{63B3BB69-23CF-44E3-9099-C40C66FF867C}">
                  <a14:compatExt spid="_x0000_s19703"/>
                </a:ext>
                <a:ext uri="{FF2B5EF4-FFF2-40B4-BE49-F238E27FC236}">
                  <a16:creationId xmlns:a16="http://schemas.microsoft.com/office/drawing/2014/main" id="{00000000-0008-0000-0300-0000F7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108</xdr:row>
          <xdr:rowOff>38100</xdr:rowOff>
        </xdr:from>
        <xdr:to>
          <xdr:col>2</xdr:col>
          <xdr:colOff>1104900</xdr:colOff>
          <xdr:row>108</xdr:row>
          <xdr:rowOff>228600</xdr:rowOff>
        </xdr:to>
        <xdr:sp macro="" textlink="">
          <xdr:nvSpPr>
            <xdr:cNvPr id="19704" name="Option Button 248" hidden="1">
              <a:extLst>
                <a:ext uri="{63B3BB69-23CF-44E3-9099-C40C66FF867C}">
                  <a14:compatExt spid="_x0000_s19704"/>
                </a:ext>
                <a:ext uri="{FF2B5EF4-FFF2-40B4-BE49-F238E27FC236}">
                  <a16:creationId xmlns:a16="http://schemas.microsoft.com/office/drawing/2014/main" id="{00000000-0008-0000-0300-0000F8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108</xdr:row>
          <xdr:rowOff>38100</xdr:rowOff>
        </xdr:from>
        <xdr:to>
          <xdr:col>3</xdr:col>
          <xdr:colOff>1041400</xdr:colOff>
          <xdr:row>108</xdr:row>
          <xdr:rowOff>228600</xdr:rowOff>
        </xdr:to>
        <xdr:sp macro="" textlink="">
          <xdr:nvSpPr>
            <xdr:cNvPr id="19705" name="Option Button 249" hidden="1">
              <a:extLst>
                <a:ext uri="{63B3BB69-23CF-44E3-9099-C40C66FF867C}">
                  <a14:compatExt spid="_x0000_s19705"/>
                </a:ext>
                <a:ext uri="{FF2B5EF4-FFF2-40B4-BE49-F238E27FC236}">
                  <a16:creationId xmlns:a16="http://schemas.microsoft.com/office/drawing/2014/main" id="{00000000-0008-0000-0300-0000F9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698500</xdr:colOff>
          <xdr:row>108</xdr:row>
          <xdr:rowOff>38100</xdr:rowOff>
        </xdr:from>
        <xdr:to>
          <xdr:col>4</xdr:col>
          <xdr:colOff>1143000</xdr:colOff>
          <xdr:row>108</xdr:row>
          <xdr:rowOff>215900</xdr:rowOff>
        </xdr:to>
        <xdr:sp macro="" textlink="">
          <xdr:nvSpPr>
            <xdr:cNvPr id="19706" name="Option Button 250" hidden="1">
              <a:extLst>
                <a:ext uri="{63B3BB69-23CF-44E3-9099-C40C66FF867C}">
                  <a14:compatExt spid="_x0000_s19706"/>
                </a:ext>
                <a:ext uri="{FF2B5EF4-FFF2-40B4-BE49-F238E27FC236}">
                  <a16:creationId xmlns:a16="http://schemas.microsoft.com/office/drawing/2014/main" id="{00000000-0008-0000-0300-0000FA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863600</xdr:colOff>
          <xdr:row>108</xdr:row>
          <xdr:rowOff>38100</xdr:rowOff>
        </xdr:from>
        <xdr:to>
          <xdr:col>5</xdr:col>
          <xdr:colOff>1447800</xdr:colOff>
          <xdr:row>108</xdr:row>
          <xdr:rowOff>215900</xdr:rowOff>
        </xdr:to>
        <xdr:sp macro="" textlink="">
          <xdr:nvSpPr>
            <xdr:cNvPr id="19707" name="Option Button 251" hidden="1">
              <a:extLst>
                <a:ext uri="{63B3BB69-23CF-44E3-9099-C40C66FF867C}">
                  <a14:compatExt spid="_x0000_s19707"/>
                </a:ext>
                <a:ext uri="{FF2B5EF4-FFF2-40B4-BE49-F238E27FC236}">
                  <a16:creationId xmlns:a16="http://schemas.microsoft.com/office/drawing/2014/main" id="{00000000-0008-0000-0300-0000FB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596900</xdr:colOff>
          <xdr:row>109</xdr:row>
          <xdr:rowOff>38100</xdr:rowOff>
        </xdr:from>
        <xdr:to>
          <xdr:col>2</xdr:col>
          <xdr:colOff>1092200</xdr:colOff>
          <xdr:row>109</xdr:row>
          <xdr:rowOff>228600</xdr:rowOff>
        </xdr:to>
        <xdr:sp macro="" textlink="">
          <xdr:nvSpPr>
            <xdr:cNvPr id="19708" name="Option Button 252" hidden="1">
              <a:extLst>
                <a:ext uri="{63B3BB69-23CF-44E3-9099-C40C66FF867C}">
                  <a14:compatExt spid="_x0000_s19708"/>
                </a:ext>
                <a:ext uri="{FF2B5EF4-FFF2-40B4-BE49-F238E27FC236}">
                  <a16:creationId xmlns:a16="http://schemas.microsoft.com/office/drawing/2014/main" id="{00000000-0008-0000-0300-0000FC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109</xdr:row>
          <xdr:rowOff>38100</xdr:rowOff>
        </xdr:from>
        <xdr:to>
          <xdr:col>3</xdr:col>
          <xdr:colOff>1117600</xdr:colOff>
          <xdr:row>109</xdr:row>
          <xdr:rowOff>215900</xdr:rowOff>
        </xdr:to>
        <xdr:sp macro="" textlink="">
          <xdr:nvSpPr>
            <xdr:cNvPr id="19709" name="Option Button 253" hidden="1">
              <a:extLst>
                <a:ext uri="{63B3BB69-23CF-44E3-9099-C40C66FF867C}">
                  <a14:compatExt spid="_x0000_s19709"/>
                </a:ext>
                <a:ext uri="{FF2B5EF4-FFF2-40B4-BE49-F238E27FC236}">
                  <a16:creationId xmlns:a16="http://schemas.microsoft.com/office/drawing/2014/main" id="{00000000-0008-0000-0300-0000FD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698500</xdr:colOff>
          <xdr:row>109</xdr:row>
          <xdr:rowOff>50800</xdr:rowOff>
        </xdr:from>
        <xdr:to>
          <xdr:col>4</xdr:col>
          <xdr:colOff>1244600</xdr:colOff>
          <xdr:row>109</xdr:row>
          <xdr:rowOff>228600</xdr:rowOff>
        </xdr:to>
        <xdr:sp macro="" textlink="">
          <xdr:nvSpPr>
            <xdr:cNvPr id="19710" name="Option Button 254" hidden="1">
              <a:extLst>
                <a:ext uri="{63B3BB69-23CF-44E3-9099-C40C66FF867C}">
                  <a14:compatExt spid="_x0000_s19710"/>
                </a:ext>
                <a:ext uri="{FF2B5EF4-FFF2-40B4-BE49-F238E27FC236}">
                  <a16:creationId xmlns:a16="http://schemas.microsoft.com/office/drawing/2014/main" id="{00000000-0008-0000-0300-0000FE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863600</xdr:colOff>
          <xdr:row>109</xdr:row>
          <xdr:rowOff>38100</xdr:rowOff>
        </xdr:from>
        <xdr:to>
          <xdr:col>5</xdr:col>
          <xdr:colOff>1473200</xdr:colOff>
          <xdr:row>109</xdr:row>
          <xdr:rowOff>215900</xdr:rowOff>
        </xdr:to>
        <xdr:sp macro="" textlink="">
          <xdr:nvSpPr>
            <xdr:cNvPr id="19711" name="Option Button 255" hidden="1">
              <a:extLst>
                <a:ext uri="{63B3BB69-23CF-44E3-9099-C40C66FF867C}">
                  <a14:compatExt spid="_x0000_s19711"/>
                </a:ext>
                <a:ext uri="{FF2B5EF4-FFF2-40B4-BE49-F238E27FC236}">
                  <a16:creationId xmlns:a16="http://schemas.microsoft.com/office/drawing/2014/main" id="{00000000-0008-0000-0300-0000FF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596900</xdr:colOff>
          <xdr:row>110</xdr:row>
          <xdr:rowOff>50800</xdr:rowOff>
        </xdr:from>
        <xdr:to>
          <xdr:col>2</xdr:col>
          <xdr:colOff>1079500</xdr:colOff>
          <xdr:row>110</xdr:row>
          <xdr:rowOff>228600</xdr:rowOff>
        </xdr:to>
        <xdr:sp macro="" textlink="">
          <xdr:nvSpPr>
            <xdr:cNvPr id="19712" name="Option Button 256" hidden="1">
              <a:extLst>
                <a:ext uri="{63B3BB69-23CF-44E3-9099-C40C66FF867C}">
                  <a14:compatExt spid="_x0000_s19712"/>
                </a:ext>
                <a:ext uri="{FF2B5EF4-FFF2-40B4-BE49-F238E27FC236}">
                  <a16:creationId xmlns:a16="http://schemas.microsoft.com/office/drawing/2014/main" id="{00000000-0008-0000-0300-000000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558800</xdr:colOff>
          <xdr:row>110</xdr:row>
          <xdr:rowOff>38100</xdr:rowOff>
        </xdr:from>
        <xdr:to>
          <xdr:col>3</xdr:col>
          <xdr:colOff>1028700</xdr:colOff>
          <xdr:row>110</xdr:row>
          <xdr:rowOff>228600</xdr:rowOff>
        </xdr:to>
        <xdr:sp macro="" textlink="">
          <xdr:nvSpPr>
            <xdr:cNvPr id="19713" name="Option Button 257" hidden="1">
              <a:extLst>
                <a:ext uri="{63B3BB69-23CF-44E3-9099-C40C66FF867C}">
                  <a14:compatExt spid="_x0000_s19713"/>
                </a:ext>
                <a:ext uri="{FF2B5EF4-FFF2-40B4-BE49-F238E27FC236}">
                  <a16:creationId xmlns:a16="http://schemas.microsoft.com/office/drawing/2014/main" id="{00000000-0008-0000-0300-000001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698500</xdr:colOff>
          <xdr:row>110</xdr:row>
          <xdr:rowOff>50800</xdr:rowOff>
        </xdr:from>
        <xdr:to>
          <xdr:col>4</xdr:col>
          <xdr:colOff>1092200</xdr:colOff>
          <xdr:row>110</xdr:row>
          <xdr:rowOff>228600</xdr:rowOff>
        </xdr:to>
        <xdr:sp macro="" textlink="">
          <xdr:nvSpPr>
            <xdr:cNvPr id="19714" name="Option Button 258" hidden="1">
              <a:extLst>
                <a:ext uri="{63B3BB69-23CF-44E3-9099-C40C66FF867C}">
                  <a14:compatExt spid="_x0000_s19714"/>
                </a:ext>
                <a:ext uri="{FF2B5EF4-FFF2-40B4-BE49-F238E27FC236}">
                  <a16:creationId xmlns:a16="http://schemas.microsoft.com/office/drawing/2014/main" id="{00000000-0008-0000-0300-000002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863600</xdr:colOff>
          <xdr:row>110</xdr:row>
          <xdr:rowOff>38100</xdr:rowOff>
        </xdr:from>
        <xdr:to>
          <xdr:col>5</xdr:col>
          <xdr:colOff>1320800</xdr:colOff>
          <xdr:row>110</xdr:row>
          <xdr:rowOff>228600</xdr:rowOff>
        </xdr:to>
        <xdr:sp macro="" textlink="">
          <xdr:nvSpPr>
            <xdr:cNvPr id="19715" name="Option Button 259" hidden="1">
              <a:extLst>
                <a:ext uri="{63B3BB69-23CF-44E3-9099-C40C66FF867C}">
                  <a14:compatExt spid="_x0000_s19715"/>
                </a:ext>
                <a:ext uri="{FF2B5EF4-FFF2-40B4-BE49-F238E27FC236}">
                  <a16:creationId xmlns:a16="http://schemas.microsoft.com/office/drawing/2014/main" id="{00000000-0008-0000-0300-000003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6</xdr:col>
          <xdr:colOff>0</xdr:colOff>
          <xdr:row>112</xdr:row>
          <xdr:rowOff>0</xdr:rowOff>
        </xdr:to>
        <xdr:sp macro="" textlink="">
          <xdr:nvSpPr>
            <xdr:cNvPr id="19716" name="Group Box 260" hidden="1">
              <a:extLst>
                <a:ext uri="{63B3BB69-23CF-44E3-9099-C40C66FF867C}">
                  <a14:compatExt spid="_x0000_s19716"/>
                </a:ext>
                <a:ext uri="{FF2B5EF4-FFF2-40B4-BE49-F238E27FC236}">
                  <a16:creationId xmlns:a16="http://schemas.microsoft.com/office/drawing/2014/main" id="{00000000-0008-0000-0300-0000044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111</xdr:row>
          <xdr:rowOff>50800</xdr:rowOff>
        </xdr:from>
        <xdr:to>
          <xdr:col>2</xdr:col>
          <xdr:colOff>1016000</xdr:colOff>
          <xdr:row>111</xdr:row>
          <xdr:rowOff>215900</xdr:rowOff>
        </xdr:to>
        <xdr:sp macro="" textlink="">
          <xdr:nvSpPr>
            <xdr:cNvPr id="19717" name="Option Button 261" hidden="1">
              <a:extLst>
                <a:ext uri="{63B3BB69-23CF-44E3-9099-C40C66FF867C}">
                  <a14:compatExt spid="_x0000_s19717"/>
                </a:ext>
                <a:ext uri="{FF2B5EF4-FFF2-40B4-BE49-F238E27FC236}">
                  <a16:creationId xmlns:a16="http://schemas.microsoft.com/office/drawing/2014/main" id="{00000000-0008-0000-0300-000005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111</xdr:row>
          <xdr:rowOff>38100</xdr:rowOff>
        </xdr:from>
        <xdr:to>
          <xdr:col>3</xdr:col>
          <xdr:colOff>1054100</xdr:colOff>
          <xdr:row>111</xdr:row>
          <xdr:rowOff>228600</xdr:rowOff>
        </xdr:to>
        <xdr:sp macro="" textlink="">
          <xdr:nvSpPr>
            <xdr:cNvPr id="19718" name="Option Button 262" hidden="1">
              <a:extLst>
                <a:ext uri="{63B3BB69-23CF-44E3-9099-C40C66FF867C}">
                  <a14:compatExt spid="_x0000_s19718"/>
                </a:ext>
                <a:ext uri="{FF2B5EF4-FFF2-40B4-BE49-F238E27FC236}">
                  <a16:creationId xmlns:a16="http://schemas.microsoft.com/office/drawing/2014/main" id="{00000000-0008-0000-0300-000006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698500</xdr:colOff>
          <xdr:row>111</xdr:row>
          <xdr:rowOff>50800</xdr:rowOff>
        </xdr:from>
        <xdr:to>
          <xdr:col>4</xdr:col>
          <xdr:colOff>1333500</xdr:colOff>
          <xdr:row>111</xdr:row>
          <xdr:rowOff>215900</xdr:rowOff>
        </xdr:to>
        <xdr:sp macro="" textlink="">
          <xdr:nvSpPr>
            <xdr:cNvPr id="19719" name="Option Button 263" hidden="1">
              <a:extLst>
                <a:ext uri="{63B3BB69-23CF-44E3-9099-C40C66FF867C}">
                  <a14:compatExt spid="_x0000_s19719"/>
                </a:ext>
                <a:ext uri="{FF2B5EF4-FFF2-40B4-BE49-F238E27FC236}">
                  <a16:creationId xmlns:a16="http://schemas.microsoft.com/office/drawing/2014/main" id="{00000000-0008-0000-0300-000007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863600</xdr:colOff>
          <xdr:row>111</xdr:row>
          <xdr:rowOff>38100</xdr:rowOff>
        </xdr:from>
        <xdr:to>
          <xdr:col>5</xdr:col>
          <xdr:colOff>1422400</xdr:colOff>
          <xdr:row>111</xdr:row>
          <xdr:rowOff>215900</xdr:rowOff>
        </xdr:to>
        <xdr:sp macro="" textlink="">
          <xdr:nvSpPr>
            <xdr:cNvPr id="19720" name="Option Button 264" hidden="1">
              <a:extLst>
                <a:ext uri="{63B3BB69-23CF-44E3-9099-C40C66FF867C}">
                  <a14:compatExt spid="_x0000_s19720"/>
                </a:ext>
                <a:ext uri="{FF2B5EF4-FFF2-40B4-BE49-F238E27FC236}">
                  <a16:creationId xmlns:a16="http://schemas.microsoft.com/office/drawing/2014/main" id="{00000000-0008-0000-0300-000008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126</xdr:row>
          <xdr:rowOff>0</xdr:rowOff>
        </xdr:from>
        <xdr:to>
          <xdr:col>7</xdr:col>
          <xdr:colOff>0</xdr:colOff>
          <xdr:row>127</xdr:row>
          <xdr:rowOff>0</xdr:rowOff>
        </xdr:to>
        <xdr:sp macro="" textlink="">
          <xdr:nvSpPr>
            <xdr:cNvPr id="19740" name="Group Box 284" hidden="1">
              <a:extLst>
                <a:ext uri="{63B3BB69-23CF-44E3-9099-C40C66FF867C}">
                  <a14:compatExt spid="_x0000_s19740"/>
                </a:ext>
                <a:ext uri="{FF2B5EF4-FFF2-40B4-BE49-F238E27FC236}">
                  <a16:creationId xmlns:a16="http://schemas.microsoft.com/office/drawing/2014/main" id="{00000000-0008-0000-0300-00001C4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596900</xdr:colOff>
          <xdr:row>126</xdr:row>
          <xdr:rowOff>63500</xdr:rowOff>
        </xdr:from>
        <xdr:to>
          <xdr:col>2</xdr:col>
          <xdr:colOff>1054100</xdr:colOff>
          <xdr:row>126</xdr:row>
          <xdr:rowOff>292100</xdr:rowOff>
        </xdr:to>
        <xdr:sp macro="" textlink="">
          <xdr:nvSpPr>
            <xdr:cNvPr id="19741" name="Option Button 285" hidden="1">
              <a:extLst>
                <a:ext uri="{63B3BB69-23CF-44E3-9099-C40C66FF867C}">
                  <a14:compatExt spid="_x0000_s19741"/>
                </a:ext>
                <a:ext uri="{FF2B5EF4-FFF2-40B4-BE49-F238E27FC236}">
                  <a16:creationId xmlns:a16="http://schemas.microsoft.com/office/drawing/2014/main" id="{00000000-0008-0000-0300-00001D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126</xdr:row>
          <xdr:rowOff>50800</xdr:rowOff>
        </xdr:from>
        <xdr:to>
          <xdr:col>3</xdr:col>
          <xdr:colOff>1130300</xdr:colOff>
          <xdr:row>126</xdr:row>
          <xdr:rowOff>292100</xdr:rowOff>
        </xdr:to>
        <xdr:sp macro="" textlink="">
          <xdr:nvSpPr>
            <xdr:cNvPr id="19742" name="Option Button 286" hidden="1">
              <a:extLst>
                <a:ext uri="{63B3BB69-23CF-44E3-9099-C40C66FF867C}">
                  <a14:compatExt spid="_x0000_s19742"/>
                </a:ext>
                <a:ext uri="{FF2B5EF4-FFF2-40B4-BE49-F238E27FC236}">
                  <a16:creationId xmlns:a16="http://schemas.microsoft.com/office/drawing/2014/main" id="{00000000-0008-0000-0300-00001E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736600</xdr:colOff>
          <xdr:row>126</xdr:row>
          <xdr:rowOff>76200</xdr:rowOff>
        </xdr:from>
        <xdr:to>
          <xdr:col>4</xdr:col>
          <xdr:colOff>1231900</xdr:colOff>
          <xdr:row>126</xdr:row>
          <xdr:rowOff>279400</xdr:rowOff>
        </xdr:to>
        <xdr:sp macro="" textlink="">
          <xdr:nvSpPr>
            <xdr:cNvPr id="19743" name="Option Button 287" hidden="1">
              <a:extLst>
                <a:ext uri="{63B3BB69-23CF-44E3-9099-C40C66FF867C}">
                  <a14:compatExt spid="_x0000_s19743"/>
                </a:ext>
                <a:ext uri="{FF2B5EF4-FFF2-40B4-BE49-F238E27FC236}">
                  <a16:creationId xmlns:a16="http://schemas.microsoft.com/office/drawing/2014/main" id="{00000000-0008-0000-0300-00001F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825500</xdr:colOff>
          <xdr:row>126</xdr:row>
          <xdr:rowOff>50800</xdr:rowOff>
        </xdr:from>
        <xdr:to>
          <xdr:col>5</xdr:col>
          <xdr:colOff>1371600</xdr:colOff>
          <xdr:row>126</xdr:row>
          <xdr:rowOff>304800</xdr:rowOff>
        </xdr:to>
        <xdr:sp macro="" textlink="">
          <xdr:nvSpPr>
            <xdr:cNvPr id="19744" name="Option Button 288" hidden="1">
              <a:extLst>
                <a:ext uri="{63B3BB69-23CF-44E3-9099-C40C66FF867C}">
                  <a14:compatExt spid="_x0000_s19744"/>
                </a:ext>
                <a:ext uri="{FF2B5EF4-FFF2-40B4-BE49-F238E27FC236}">
                  <a16:creationId xmlns:a16="http://schemas.microsoft.com/office/drawing/2014/main" id="{00000000-0008-0000-0300-000020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126</xdr:row>
          <xdr:rowOff>63500</xdr:rowOff>
        </xdr:from>
        <xdr:to>
          <xdr:col>6</xdr:col>
          <xdr:colOff>1066800</xdr:colOff>
          <xdr:row>126</xdr:row>
          <xdr:rowOff>279400</xdr:rowOff>
        </xdr:to>
        <xdr:sp macro="" textlink="">
          <xdr:nvSpPr>
            <xdr:cNvPr id="19745" name="Option Button 289" hidden="1">
              <a:extLst>
                <a:ext uri="{63B3BB69-23CF-44E3-9099-C40C66FF867C}">
                  <a14:compatExt spid="_x0000_s19745"/>
                </a:ext>
                <a:ext uri="{FF2B5EF4-FFF2-40B4-BE49-F238E27FC236}">
                  <a16:creationId xmlns:a16="http://schemas.microsoft.com/office/drawing/2014/main" id="{00000000-0008-0000-0300-000021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127</xdr:row>
          <xdr:rowOff>0</xdr:rowOff>
        </xdr:from>
        <xdr:to>
          <xdr:col>7</xdr:col>
          <xdr:colOff>0</xdr:colOff>
          <xdr:row>128</xdr:row>
          <xdr:rowOff>0</xdr:rowOff>
        </xdr:to>
        <xdr:sp macro="" textlink="">
          <xdr:nvSpPr>
            <xdr:cNvPr id="19752" name="Group Box 296" hidden="1">
              <a:extLst>
                <a:ext uri="{63B3BB69-23CF-44E3-9099-C40C66FF867C}">
                  <a14:compatExt spid="_x0000_s19752"/>
                </a:ext>
                <a:ext uri="{FF2B5EF4-FFF2-40B4-BE49-F238E27FC236}">
                  <a16:creationId xmlns:a16="http://schemas.microsoft.com/office/drawing/2014/main" id="{00000000-0008-0000-0300-0000284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596900</xdr:colOff>
          <xdr:row>127</xdr:row>
          <xdr:rowOff>76200</xdr:rowOff>
        </xdr:from>
        <xdr:to>
          <xdr:col>2</xdr:col>
          <xdr:colOff>1130300</xdr:colOff>
          <xdr:row>127</xdr:row>
          <xdr:rowOff>304800</xdr:rowOff>
        </xdr:to>
        <xdr:sp macro="" textlink="">
          <xdr:nvSpPr>
            <xdr:cNvPr id="19753" name="Option Button 297" hidden="1">
              <a:extLst>
                <a:ext uri="{63B3BB69-23CF-44E3-9099-C40C66FF867C}">
                  <a14:compatExt spid="_x0000_s19753"/>
                </a:ext>
                <a:ext uri="{FF2B5EF4-FFF2-40B4-BE49-F238E27FC236}">
                  <a16:creationId xmlns:a16="http://schemas.microsoft.com/office/drawing/2014/main" id="{00000000-0008-0000-0300-000029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127</xdr:row>
          <xdr:rowOff>63500</xdr:rowOff>
        </xdr:from>
        <xdr:to>
          <xdr:col>3</xdr:col>
          <xdr:colOff>1028700</xdr:colOff>
          <xdr:row>127</xdr:row>
          <xdr:rowOff>304800</xdr:rowOff>
        </xdr:to>
        <xdr:sp macro="" textlink="">
          <xdr:nvSpPr>
            <xdr:cNvPr id="19754" name="Option Button 298" hidden="1">
              <a:extLst>
                <a:ext uri="{63B3BB69-23CF-44E3-9099-C40C66FF867C}">
                  <a14:compatExt spid="_x0000_s19754"/>
                </a:ext>
                <a:ext uri="{FF2B5EF4-FFF2-40B4-BE49-F238E27FC236}">
                  <a16:creationId xmlns:a16="http://schemas.microsoft.com/office/drawing/2014/main" id="{00000000-0008-0000-0300-00002A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736600</xdr:colOff>
          <xdr:row>127</xdr:row>
          <xdr:rowOff>50800</xdr:rowOff>
        </xdr:from>
        <xdr:to>
          <xdr:col>4</xdr:col>
          <xdr:colOff>1231900</xdr:colOff>
          <xdr:row>127</xdr:row>
          <xdr:rowOff>304800</xdr:rowOff>
        </xdr:to>
        <xdr:sp macro="" textlink="">
          <xdr:nvSpPr>
            <xdr:cNvPr id="19755" name="Option Button 299" hidden="1">
              <a:extLst>
                <a:ext uri="{63B3BB69-23CF-44E3-9099-C40C66FF867C}">
                  <a14:compatExt spid="_x0000_s19755"/>
                </a:ext>
                <a:ext uri="{FF2B5EF4-FFF2-40B4-BE49-F238E27FC236}">
                  <a16:creationId xmlns:a16="http://schemas.microsoft.com/office/drawing/2014/main" id="{00000000-0008-0000-0300-00002B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825500</xdr:colOff>
          <xdr:row>127</xdr:row>
          <xdr:rowOff>50800</xdr:rowOff>
        </xdr:from>
        <xdr:to>
          <xdr:col>5</xdr:col>
          <xdr:colOff>1308100</xdr:colOff>
          <xdr:row>127</xdr:row>
          <xdr:rowOff>292100</xdr:rowOff>
        </xdr:to>
        <xdr:sp macro="" textlink="">
          <xdr:nvSpPr>
            <xdr:cNvPr id="19756" name="Option Button 300" hidden="1">
              <a:extLst>
                <a:ext uri="{63B3BB69-23CF-44E3-9099-C40C66FF867C}">
                  <a14:compatExt spid="_x0000_s19756"/>
                </a:ext>
                <a:ext uri="{FF2B5EF4-FFF2-40B4-BE49-F238E27FC236}">
                  <a16:creationId xmlns:a16="http://schemas.microsoft.com/office/drawing/2014/main" id="{00000000-0008-0000-0300-00002C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127</xdr:row>
          <xdr:rowOff>63500</xdr:rowOff>
        </xdr:from>
        <xdr:to>
          <xdr:col>6</xdr:col>
          <xdr:colOff>1130300</xdr:colOff>
          <xdr:row>127</xdr:row>
          <xdr:rowOff>304800</xdr:rowOff>
        </xdr:to>
        <xdr:sp macro="" textlink="">
          <xdr:nvSpPr>
            <xdr:cNvPr id="19757" name="Option Button 301" hidden="1">
              <a:extLst>
                <a:ext uri="{63B3BB69-23CF-44E3-9099-C40C66FF867C}">
                  <a14:compatExt spid="_x0000_s19757"/>
                </a:ext>
                <a:ext uri="{FF2B5EF4-FFF2-40B4-BE49-F238E27FC236}">
                  <a16:creationId xmlns:a16="http://schemas.microsoft.com/office/drawing/2014/main" id="{00000000-0008-0000-0300-00002D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128</xdr:row>
          <xdr:rowOff>12700</xdr:rowOff>
        </xdr:from>
        <xdr:to>
          <xdr:col>7</xdr:col>
          <xdr:colOff>0</xdr:colOff>
          <xdr:row>128</xdr:row>
          <xdr:rowOff>342900</xdr:rowOff>
        </xdr:to>
        <xdr:sp macro="" textlink="">
          <xdr:nvSpPr>
            <xdr:cNvPr id="19758" name="Group Box 302" hidden="1">
              <a:extLst>
                <a:ext uri="{63B3BB69-23CF-44E3-9099-C40C66FF867C}">
                  <a14:compatExt spid="_x0000_s19758"/>
                </a:ext>
                <a:ext uri="{FF2B5EF4-FFF2-40B4-BE49-F238E27FC236}">
                  <a16:creationId xmlns:a16="http://schemas.microsoft.com/office/drawing/2014/main" id="{00000000-0008-0000-0300-00002E4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596900</xdr:colOff>
          <xdr:row>128</xdr:row>
          <xdr:rowOff>50800</xdr:rowOff>
        </xdr:from>
        <xdr:to>
          <xdr:col>2</xdr:col>
          <xdr:colOff>1028700</xdr:colOff>
          <xdr:row>128</xdr:row>
          <xdr:rowOff>304800</xdr:rowOff>
        </xdr:to>
        <xdr:sp macro="" textlink="">
          <xdr:nvSpPr>
            <xdr:cNvPr id="19759" name="Option Button 303" hidden="1">
              <a:extLst>
                <a:ext uri="{63B3BB69-23CF-44E3-9099-C40C66FF867C}">
                  <a14:compatExt spid="_x0000_s19759"/>
                </a:ext>
                <a:ext uri="{FF2B5EF4-FFF2-40B4-BE49-F238E27FC236}">
                  <a16:creationId xmlns:a16="http://schemas.microsoft.com/office/drawing/2014/main" id="{00000000-0008-0000-0300-00002F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128</xdr:row>
          <xdr:rowOff>63500</xdr:rowOff>
        </xdr:from>
        <xdr:to>
          <xdr:col>3</xdr:col>
          <xdr:colOff>1092200</xdr:colOff>
          <xdr:row>128</xdr:row>
          <xdr:rowOff>292100</xdr:rowOff>
        </xdr:to>
        <xdr:sp macro="" textlink="">
          <xdr:nvSpPr>
            <xdr:cNvPr id="19760" name="Option Button 304" hidden="1">
              <a:extLst>
                <a:ext uri="{63B3BB69-23CF-44E3-9099-C40C66FF867C}">
                  <a14:compatExt spid="_x0000_s19760"/>
                </a:ext>
                <a:ext uri="{FF2B5EF4-FFF2-40B4-BE49-F238E27FC236}">
                  <a16:creationId xmlns:a16="http://schemas.microsoft.com/office/drawing/2014/main" id="{00000000-0008-0000-0300-000030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128</xdr:row>
          <xdr:rowOff>50800</xdr:rowOff>
        </xdr:from>
        <xdr:to>
          <xdr:col>4</xdr:col>
          <xdr:colOff>1282700</xdr:colOff>
          <xdr:row>128</xdr:row>
          <xdr:rowOff>304800</xdr:rowOff>
        </xdr:to>
        <xdr:sp macro="" textlink="">
          <xdr:nvSpPr>
            <xdr:cNvPr id="19761" name="Option Button 305" hidden="1">
              <a:extLst>
                <a:ext uri="{63B3BB69-23CF-44E3-9099-C40C66FF867C}">
                  <a14:compatExt spid="_x0000_s19761"/>
                </a:ext>
                <a:ext uri="{FF2B5EF4-FFF2-40B4-BE49-F238E27FC236}">
                  <a16:creationId xmlns:a16="http://schemas.microsoft.com/office/drawing/2014/main" id="{00000000-0008-0000-0300-000031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825500</xdr:colOff>
          <xdr:row>128</xdr:row>
          <xdr:rowOff>76200</xdr:rowOff>
        </xdr:from>
        <xdr:to>
          <xdr:col>5</xdr:col>
          <xdr:colOff>1333500</xdr:colOff>
          <xdr:row>128</xdr:row>
          <xdr:rowOff>292100</xdr:rowOff>
        </xdr:to>
        <xdr:sp macro="" textlink="">
          <xdr:nvSpPr>
            <xdr:cNvPr id="19762" name="Option Button 306" hidden="1">
              <a:extLst>
                <a:ext uri="{63B3BB69-23CF-44E3-9099-C40C66FF867C}">
                  <a14:compatExt spid="_x0000_s19762"/>
                </a:ext>
                <a:ext uri="{FF2B5EF4-FFF2-40B4-BE49-F238E27FC236}">
                  <a16:creationId xmlns:a16="http://schemas.microsoft.com/office/drawing/2014/main" id="{00000000-0008-0000-0300-000032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128</xdr:row>
          <xdr:rowOff>63500</xdr:rowOff>
        </xdr:from>
        <xdr:to>
          <xdr:col>6</xdr:col>
          <xdr:colOff>1206500</xdr:colOff>
          <xdr:row>128</xdr:row>
          <xdr:rowOff>304800</xdr:rowOff>
        </xdr:to>
        <xdr:sp macro="" textlink="">
          <xdr:nvSpPr>
            <xdr:cNvPr id="19763" name="Option Button 307" hidden="1">
              <a:extLst>
                <a:ext uri="{63B3BB69-23CF-44E3-9099-C40C66FF867C}">
                  <a14:compatExt spid="_x0000_s19763"/>
                </a:ext>
                <a:ext uri="{FF2B5EF4-FFF2-40B4-BE49-F238E27FC236}">
                  <a16:creationId xmlns:a16="http://schemas.microsoft.com/office/drawing/2014/main" id="{00000000-0008-0000-0300-000033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247</xdr:row>
          <xdr:rowOff>241300</xdr:rowOff>
        </xdr:from>
        <xdr:to>
          <xdr:col>1</xdr:col>
          <xdr:colOff>0</xdr:colOff>
          <xdr:row>251</xdr:row>
          <xdr:rowOff>88900</xdr:rowOff>
        </xdr:to>
        <xdr:sp macro="" textlink="">
          <xdr:nvSpPr>
            <xdr:cNvPr id="19764" name="Group Box 308" hidden="1">
              <a:extLst>
                <a:ext uri="{63B3BB69-23CF-44E3-9099-C40C66FF867C}">
                  <a14:compatExt spid="_x0000_s19764"/>
                </a:ext>
                <a:ext uri="{FF2B5EF4-FFF2-40B4-BE49-F238E27FC236}">
                  <a16:creationId xmlns:a16="http://schemas.microsoft.com/office/drawing/2014/main" id="{00000000-0008-0000-0300-0000344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247</xdr:row>
          <xdr:rowOff>304800</xdr:rowOff>
        </xdr:from>
        <xdr:to>
          <xdr:col>0</xdr:col>
          <xdr:colOff>520700</xdr:colOff>
          <xdr:row>249</xdr:row>
          <xdr:rowOff>12700</xdr:rowOff>
        </xdr:to>
        <xdr:sp macro="" textlink="">
          <xdr:nvSpPr>
            <xdr:cNvPr id="19765" name="Option Button 309" hidden="1">
              <a:extLst>
                <a:ext uri="{63B3BB69-23CF-44E3-9099-C40C66FF867C}">
                  <a14:compatExt spid="_x0000_s19765"/>
                </a:ext>
                <a:ext uri="{FF2B5EF4-FFF2-40B4-BE49-F238E27FC236}">
                  <a16:creationId xmlns:a16="http://schemas.microsoft.com/office/drawing/2014/main" id="{00000000-0008-0000-0300-000035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249</xdr:row>
          <xdr:rowOff>12700</xdr:rowOff>
        </xdr:from>
        <xdr:to>
          <xdr:col>0</xdr:col>
          <xdr:colOff>558800</xdr:colOff>
          <xdr:row>250</xdr:row>
          <xdr:rowOff>0</xdr:rowOff>
        </xdr:to>
        <xdr:sp macro="" textlink="">
          <xdr:nvSpPr>
            <xdr:cNvPr id="19766" name="Option Button 310" hidden="1">
              <a:extLst>
                <a:ext uri="{63B3BB69-23CF-44E3-9099-C40C66FF867C}">
                  <a14:compatExt spid="_x0000_s19766"/>
                </a:ext>
                <a:ext uri="{FF2B5EF4-FFF2-40B4-BE49-F238E27FC236}">
                  <a16:creationId xmlns:a16="http://schemas.microsoft.com/office/drawing/2014/main" id="{00000000-0008-0000-0300-000036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250</xdr:row>
          <xdr:rowOff>0</xdr:rowOff>
        </xdr:from>
        <xdr:to>
          <xdr:col>0</xdr:col>
          <xdr:colOff>508000</xdr:colOff>
          <xdr:row>251</xdr:row>
          <xdr:rowOff>0</xdr:rowOff>
        </xdr:to>
        <xdr:sp macro="" textlink="">
          <xdr:nvSpPr>
            <xdr:cNvPr id="19767" name="Option Button 311" hidden="1">
              <a:extLst>
                <a:ext uri="{63B3BB69-23CF-44E3-9099-C40C66FF867C}">
                  <a14:compatExt spid="_x0000_s19767"/>
                </a:ext>
                <a:ext uri="{FF2B5EF4-FFF2-40B4-BE49-F238E27FC236}">
                  <a16:creationId xmlns:a16="http://schemas.microsoft.com/office/drawing/2014/main" id="{00000000-0008-0000-0300-000037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273</xdr:row>
          <xdr:rowOff>127000</xdr:rowOff>
        </xdr:from>
        <xdr:to>
          <xdr:col>1</xdr:col>
          <xdr:colOff>0</xdr:colOff>
          <xdr:row>278</xdr:row>
          <xdr:rowOff>63500</xdr:rowOff>
        </xdr:to>
        <xdr:sp macro="" textlink="">
          <xdr:nvSpPr>
            <xdr:cNvPr id="19768" name="Group Box 312" hidden="1">
              <a:extLst>
                <a:ext uri="{63B3BB69-23CF-44E3-9099-C40C66FF867C}">
                  <a14:compatExt spid="_x0000_s19768"/>
                </a:ext>
                <a:ext uri="{FF2B5EF4-FFF2-40B4-BE49-F238E27FC236}">
                  <a16:creationId xmlns:a16="http://schemas.microsoft.com/office/drawing/2014/main" id="{00000000-0008-0000-0300-0000384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274</xdr:row>
          <xdr:rowOff>25400</xdr:rowOff>
        </xdr:from>
        <xdr:to>
          <xdr:col>0</xdr:col>
          <xdr:colOff>469900</xdr:colOff>
          <xdr:row>275</xdr:row>
          <xdr:rowOff>0</xdr:rowOff>
        </xdr:to>
        <xdr:sp macro="" textlink="">
          <xdr:nvSpPr>
            <xdr:cNvPr id="19769" name="Option Button 313" hidden="1">
              <a:extLst>
                <a:ext uri="{63B3BB69-23CF-44E3-9099-C40C66FF867C}">
                  <a14:compatExt spid="_x0000_s19769"/>
                </a:ext>
                <a:ext uri="{FF2B5EF4-FFF2-40B4-BE49-F238E27FC236}">
                  <a16:creationId xmlns:a16="http://schemas.microsoft.com/office/drawing/2014/main" id="{00000000-0008-0000-0300-000039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275</xdr:row>
          <xdr:rowOff>12700</xdr:rowOff>
        </xdr:from>
        <xdr:to>
          <xdr:col>0</xdr:col>
          <xdr:colOff>469900</xdr:colOff>
          <xdr:row>276</xdr:row>
          <xdr:rowOff>12700</xdr:rowOff>
        </xdr:to>
        <xdr:sp macro="" textlink="">
          <xdr:nvSpPr>
            <xdr:cNvPr id="19770" name="Option Button 314" hidden="1">
              <a:extLst>
                <a:ext uri="{63B3BB69-23CF-44E3-9099-C40C66FF867C}">
                  <a14:compatExt spid="_x0000_s19770"/>
                </a:ext>
                <a:ext uri="{FF2B5EF4-FFF2-40B4-BE49-F238E27FC236}">
                  <a16:creationId xmlns:a16="http://schemas.microsoft.com/office/drawing/2014/main" id="{00000000-0008-0000-0300-00003A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276</xdr:row>
          <xdr:rowOff>12700</xdr:rowOff>
        </xdr:from>
        <xdr:to>
          <xdr:col>0</xdr:col>
          <xdr:colOff>520700</xdr:colOff>
          <xdr:row>276</xdr:row>
          <xdr:rowOff>203200</xdr:rowOff>
        </xdr:to>
        <xdr:sp macro="" textlink="">
          <xdr:nvSpPr>
            <xdr:cNvPr id="19771" name="Option Button 315" hidden="1">
              <a:extLst>
                <a:ext uri="{63B3BB69-23CF-44E3-9099-C40C66FF867C}">
                  <a14:compatExt spid="_x0000_s19771"/>
                </a:ext>
                <a:ext uri="{FF2B5EF4-FFF2-40B4-BE49-F238E27FC236}">
                  <a16:creationId xmlns:a16="http://schemas.microsoft.com/office/drawing/2014/main" id="{00000000-0008-0000-0300-00003B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277</xdr:row>
          <xdr:rowOff>0</xdr:rowOff>
        </xdr:from>
        <xdr:to>
          <xdr:col>0</xdr:col>
          <xdr:colOff>508000</xdr:colOff>
          <xdr:row>278</xdr:row>
          <xdr:rowOff>0</xdr:rowOff>
        </xdr:to>
        <xdr:sp macro="" textlink="">
          <xdr:nvSpPr>
            <xdr:cNvPr id="19772" name="Option Button 316" hidden="1">
              <a:extLst>
                <a:ext uri="{63B3BB69-23CF-44E3-9099-C40C66FF867C}">
                  <a14:compatExt spid="_x0000_s19772"/>
                </a:ext>
                <a:ext uri="{FF2B5EF4-FFF2-40B4-BE49-F238E27FC236}">
                  <a16:creationId xmlns:a16="http://schemas.microsoft.com/office/drawing/2014/main" id="{00000000-0008-0000-0300-00003C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81</xdr:row>
          <xdr:rowOff>406400</xdr:rowOff>
        </xdr:from>
        <xdr:to>
          <xdr:col>0</xdr:col>
          <xdr:colOff>558800</xdr:colOff>
          <xdr:row>87</xdr:row>
          <xdr:rowOff>76200</xdr:rowOff>
        </xdr:to>
        <xdr:sp macro="" textlink="">
          <xdr:nvSpPr>
            <xdr:cNvPr id="19773" name="Group Box 317" hidden="1">
              <a:extLst>
                <a:ext uri="{63B3BB69-23CF-44E3-9099-C40C66FF867C}">
                  <a14:compatExt spid="_x0000_s19773"/>
                </a:ext>
                <a:ext uri="{FF2B5EF4-FFF2-40B4-BE49-F238E27FC236}">
                  <a16:creationId xmlns:a16="http://schemas.microsoft.com/office/drawing/2014/main" id="{00000000-0008-0000-0300-00003D4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82</xdr:row>
          <xdr:rowOff>0</xdr:rowOff>
        </xdr:from>
        <xdr:to>
          <xdr:col>0</xdr:col>
          <xdr:colOff>533400</xdr:colOff>
          <xdr:row>83</xdr:row>
          <xdr:rowOff>0</xdr:rowOff>
        </xdr:to>
        <xdr:sp macro="" textlink="">
          <xdr:nvSpPr>
            <xdr:cNvPr id="19774" name="Option Button 318" hidden="1">
              <a:extLst>
                <a:ext uri="{63B3BB69-23CF-44E3-9099-C40C66FF867C}">
                  <a14:compatExt spid="_x0000_s19774"/>
                </a:ext>
                <a:ext uri="{FF2B5EF4-FFF2-40B4-BE49-F238E27FC236}">
                  <a16:creationId xmlns:a16="http://schemas.microsoft.com/office/drawing/2014/main" id="{00000000-0008-0000-0300-00003E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84</xdr:row>
          <xdr:rowOff>0</xdr:rowOff>
        </xdr:from>
        <xdr:to>
          <xdr:col>0</xdr:col>
          <xdr:colOff>482600</xdr:colOff>
          <xdr:row>85</xdr:row>
          <xdr:rowOff>0</xdr:rowOff>
        </xdr:to>
        <xdr:sp macro="" textlink="">
          <xdr:nvSpPr>
            <xdr:cNvPr id="19775" name="Option Button 319" hidden="1">
              <a:extLst>
                <a:ext uri="{63B3BB69-23CF-44E3-9099-C40C66FF867C}">
                  <a14:compatExt spid="_x0000_s19775"/>
                </a:ext>
                <a:ext uri="{FF2B5EF4-FFF2-40B4-BE49-F238E27FC236}">
                  <a16:creationId xmlns:a16="http://schemas.microsoft.com/office/drawing/2014/main" id="{00000000-0008-0000-0300-00003F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85</xdr:row>
          <xdr:rowOff>0</xdr:rowOff>
        </xdr:from>
        <xdr:to>
          <xdr:col>0</xdr:col>
          <xdr:colOff>495300</xdr:colOff>
          <xdr:row>86</xdr:row>
          <xdr:rowOff>0</xdr:rowOff>
        </xdr:to>
        <xdr:sp macro="" textlink="">
          <xdr:nvSpPr>
            <xdr:cNvPr id="19776" name="Option Button 320" hidden="1">
              <a:extLst>
                <a:ext uri="{63B3BB69-23CF-44E3-9099-C40C66FF867C}">
                  <a14:compatExt spid="_x0000_s19776"/>
                </a:ext>
                <a:ext uri="{FF2B5EF4-FFF2-40B4-BE49-F238E27FC236}">
                  <a16:creationId xmlns:a16="http://schemas.microsoft.com/office/drawing/2014/main" id="{00000000-0008-0000-0300-000040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85</xdr:row>
          <xdr:rowOff>203200</xdr:rowOff>
        </xdr:from>
        <xdr:to>
          <xdr:col>0</xdr:col>
          <xdr:colOff>495300</xdr:colOff>
          <xdr:row>87</xdr:row>
          <xdr:rowOff>0</xdr:rowOff>
        </xdr:to>
        <xdr:sp macro="" textlink="">
          <xdr:nvSpPr>
            <xdr:cNvPr id="19777" name="Option Button 321" hidden="1">
              <a:extLst>
                <a:ext uri="{63B3BB69-23CF-44E3-9099-C40C66FF867C}">
                  <a14:compatExt spid="_x0000_s19777"/>
                </a:ext>
                <a:ext uri="{FF2B5EF4-FFF2-40B4-BE49-F238E27FC236}">
                  <a16:creationId xmlns:a16="http://schemas.microsoft.com/office/drawing/2014/main" id="{00000000-0008-0000-0300-0000414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19</xdr:row>
          <xdr:rowOff>12700</xdr:rowOff>
        </xdr:from>
        <xdr:to>
          <xdr:col>1</xdr:col>
          <xdr:colOff>12700</xdr:colOff>
          <xdr:row>19</xdr:row>
          <xdr:rowOff>203200</xdr:rowOff>
        </xdr:to>
        <xdr:sp macro="" textlink="">
          <xdr:nvSpPr>
            <xdr:cNvPr id="11272" name="Check Box 8" descr=" " hidden="1">
              <a:extLst>
                <a:ext uri="{63B3BB69-23CF-44E3-9099-C40C66FF867C}">
                  <a14:compatExt spid="_x0000_s11272"/>
                </a:ext>
                <a:ext uri="{FF2B5EF4-FFF2-40B4-BE49-F238E27FC236}">
                  <a16:creationId xmlns:a16="http://schemas.microsoft.com/office/drawing/2014/main" id="{00000000-0008-0000-0400-00000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20</xdr:row>
          <xdr:rowOff>12700</xdr:rowOff>
        </xdr:from>
        <xdr:to>
          <xdr:col>1</xdr:col>
          <xdr:colOff>12700</xdr:colOff>
          <xdr:row>20</xdr:row>
          <xdr:rowOff>203200</xdr:rowOff>
        </xdr:to>
        <xdr:sp macro="" textlink="">
          <xdr:nvSpPr>
            <xdr:cNvPr id="11273" name="Check Box 9" descr=" " hidden="1">
              <a:extLst>
                <a:ext uri="{63B3BB69-23CF-44E3-9099-C40C66FF867C}">
                  <a14:compatExt spid="_x0000_s11273"/>
                </a:ext>
                <a:ext uri="{FF2B5EF4-FFF2-40B4-BE49-F238E27FC236}">
                  <a16:creationId xmlns:a16="http://schemas.microsoft.com/office/drawing/2014/main" id="{00000000-0008-0000-0400-00000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21</xdr:row>
          <xdr:rowOff>12700</xdr:rowOff>
        </xdr:from>
        <xdr:to>
          <xdr:col>1</xdr:col>
          <xdr:colOff>0</xdr:colOff>
          <xdr:row>21</xdr:row>
          <xdr:rowOff>203200</xdr:rowOff>
        </xdr:to>
        <xdr:sp macro="" textlink="">
          <xdr:nvSpPr>
            <xdr:cNvPr id="11274" name="Check Box 10" descr=" " hidden="1">
              <a:extLst>
                <a:ext uri="{63B3BB69-23CF-44E3-9099-C40C66FF867C}">
                  <a14:compatExt spid="_x0000_s11274"/>
                </a:ext>
                <a:ext uri="{FF2B5EF4-FFF2-40B4-BE49-F238E27FC236}">
                  <a16:creationId xmlns:a16="http://schemas.microsoft.com/office/drawing/2014/main" id="{00000000-0008-0000-0400-00000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22</xdr:row>
          <xdr:rowOff>12700</xdr:rowOff>
        </xdr:from>
        <xdr:to>
          <xdr:col>1</xdr:col>
          <xdr:colOff>0</xdr:colOff>
          <xdr:row>22</xdr:row>
          <xdr:rowOff>203200</xdr:rowOff>
        </xdr:to>
        <xdr:sp macro="" textlink="">
          <xdr:nvSpPr>
            <xdr:cNvPr id="11275" name="Check Box 11" descr=" " hidden="1">
              <a:extLst>
                <a:ext uri="{63B3BB69-23CF-44E3-9099-C40C66FF867C}">
                  <a14:compatExt spid="_x0000_s11275"/>
                </a:ext>
                <a:ext uri="{FF2B5EF4-FFF2-40B4-BE49-F238E27FC236}">
                  <a16:creationId xmlns:a16="http://schemas.microsoft.com/office/drawing/2014/main" id="{00000000-0008-0000-0400-00000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45</xdr:row>
          <xdr:rowOff>254000</xdr:rowOff>
        </xdr:from>
        <xdr:to>
          <xdr:col>6</xdr:col>
          <xdr:colOff>660400</xdr:colOff>
          <xdr:row>47</xdr:row>
          <xdr:rowOff>25400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400-00000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46</xdr:row>
          <xdr:rowOff>177800</xdr:rowOff>
        </xdr:from>
        <xdr:to>
          <xdr:col>6</xdr:col>
          <xdr:colOff>647700</xdr:colOff>
          <xdr:row>47</xdr:row>
          <xdr:rowOff>177800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400-00001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47</xdr:row>
          <xdr:rowOff>165100</xdr:rowOff>
        </xdr:from>
        <xdr:to>
          <xdr:col>6</xdr:col>
          <xdr:colOff>647700</xdr:colOff>
          <xdr:row>49</xdr:row>
          <xdr:rowOff>12700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400-00001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48</xdr:row>
          <xdr:rowOff>177800</xdr:rowOff>
        </xdr:from>
        <xdr:to>
          <xdr:col>6</xdr:col>
          <xdr:colOff>660400</xdr:colOff>
          <xdr:row>50</xdr:row>
          <xdr:rowOff>25400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400-00001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304800</xdr:rowOff>
        </xdr:from>
        <xdr:to>
          <xdr:col>7</xdr:col>
          <xdr:colOff>0</xdr:colOff>
          <xdr:row>31</xdr:row>
          <xdr:rowOff>0</xdr:rowOff>
        </xdr:to>
        <xdr:sp macro="" textlink="">
          <xdr:nvSpPr>
            <xdr:cNvPr id="11303" name="Group Box 39" hidden="1">
              <a:extLst>
                <a:ext uri="{63B3BB69-23CF-44E3-9099-C40C66FF867C}">
                  <a14:compatExt spid="_x0000_s11303"/>
                </a:ext>
                <a:ext uri="{FF2B5EF4-FFF2-40B4-BE49-F238E27FC236}">
                  <a16:creationId xmlns:a16="http://schemas.microsoft.com/office/drawing/2014/main" id="{00000000-0008-0000-0400-000027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292100</xdr:colOff>
          <xdr:row>30</xdr:row>
          <xdr:rowOff>127000</xdr:rowOff>
        </xdr:from>
        <xdr:to>
          <xdr:col>2</xdr:col>
          <xdr:colOff>787400</xdr:colOff>
          <xdr:row>30</xdr:row>
          <xdr:rowOff>508000</xdr:rowOff>
        </xdr:to>
        <xdr:sp macro="" textlink="">
          <xdr:nvSpPr>
            <xdr:cNvPr id="11313" name="Option Button 49" hidden="1">
              <a:extLst>
                <a:ext uri="{63B3BB69-23CF-44E3-9099-C40C66FF867C}">
                  <a14:compatExt spid="_x0000_s11313"/>
                </a:ext>
                <a:ext uri="{FF2B5EF4-FFF2-40B4-BE49-F238E27FC236}">
                  <a16:creationId xmlns:a16="http://schemas.microsoft.com/office/drawing/2014/main" id="{00000000-0008-0000-0400-00003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30</xdr:row>
          <xdr:rowOff>139700</xdr:rowOff>
        </xdr:from>
        <xdr:to>
          <xdr:col>3</xdr:col>
          <xdr:colOff>787400</xdr:colOff>
          <xdr:row>30</xdr:row>
          <xdr:rowOff>520700</xdr:rowOff>
        </xdr:to>
        <xdr:sp macro="" textlink="">
          <xdr:nvSpPr>
            <xdr:cNvPr id="11314" name="Option Button 50" hidden="1">
              <a:extLst>
                <a:ext uri="{63B3BB69-23CF-44E3-9099-C40C66FF867C}">
                  <a14:compatExt spid="_x0000_s11314"/>
                </a:ext>
                <a:ext uri="{FF2B5EF4-FFF2-40B4-BE49-F238E27FC236}">
                  <a16:creationId xmlns:a16="http://schemas.microsoft.com/office/drawing/2014/main" id="{00000000-0008-0000-0400-00003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30</xdr:row>
          <xdr:rowOff>127000</xdr:rowOff>
        </xdr:from>
        <xdr:to>
          <xdr:col>4</xdr:col>
          <xdr:colOff>774700</xdr:colOff>
          <xdr:row>30</xdr:row>
          <xdr:rowOff>520700</xdr:rowOff>
        </xdr:to>
        <xdr:sp macro="" textlink="">
          <xdr:nvSpPr>
            <xdr:cNvPr id="11315" name="Option Button 51" hidden="1">
              <a:extLst>
                <a:ext uri="{63B3BB69-23CF-44E3-9099-C40C66FF867C}">
                  <a14:compatExt spid="_x0000_s11315"/>
                </a:ext>
                <a:ext uri="{FF2B5EF4-FFF2-40B4-BE49-F238E27FC236}">
                  <a16:creationId xmlns:a16="http://schemas.microsoft.com/office/drawing/2014/main" id="{00000000-0008-0000-0400-00003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292100</xdr:colOff>
          <xdr:row>30</xdr:row>
          <xdr:rowOff>127000</xdr:rowOff>
        </xdr:from>
        <xdr:to>
          <xdr:col>5</xdr:col>
          <xdr:colOff>800100</xdr:colOff>
          <xdr:row>30</xdr:row>
          <xdr:rowOff>520700</xdr:rowOff>
        </xdr:to>
        <xdr:sp macro="" textlink="">
          <xdr:nvSpPr>
            <xdr:cNvPr id="11316" name="Option Button 52" hidden="1">
              <a:extLst>
                <a:ext uri="{63B3BB69-23CF-44E3-9099-C40C66FF867C}">
                  <a14:compatExt spid="_x0000_s11316"/>
                </a:ext>
                <a:ext uri="{FF2B5EF4-FFF2-40B4-BE49-F238E27FC236}">
                  <a16:creationId xmlns:a16="http://schemas.microsoft.com/office/drawing/2014/main" id="{00000000-0008-0000-0400-00003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30</xdr:row>
          <xdr:rowOff>127000</xdr:rowOff>
        </xdr:from>
        <xdr:to>
          <xdr:col>6</xdr:col>
          <xdr:colOff>800100</xdr:colOff>
          <xdr:row>30</xdr:row>
          <xdr:rowOff>495300</xdr:rowOff>
        </xdr:to>
        <xdr:sp macro="" textlink="">
          <xdr:nvSpPr>
            <xdr:cNvPr id="11317" name="Option Button 53" hidden="1">
              <a:extLst>
                <a:ext uri="{63B3BB69-23CF-44E3-9099-C40C66FF867C}">
                  <a14:compatExt spid="_x0000_s11317"/>
                </a:ext>
                <a:ext uri="{FF2B5EF4-FFF2-40B4-BE49-F238E27FC236}">
                  <a16:creationId xmlns:a16="http://schemas.microsoft.com/office/drawing/2014/main" id="{00000000-0008-0000-0400-00003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1587500</xdr:colOff>
          <xdr:row>30</xdr:row>
          <xdr:rowOff>533400</xdr:rowOff>
        </xdr:from>
        <xdr:to>
          <xdr:col>6</xdr:col>
          <xdr:colOff>876300</xdr:colOff>
          <xdr:row>31</xdr:row>
          <xdr:rowOff>368300</xdr:rowOff>
        </xdr:to>
        <xdr:sp macro="" textlink="">
          <xdr:nvSpPr>
            <xdr:cNvPr id="11318" name="Group Box 54" hidden="1">
              <a:extLst>
                <a:ext uri="{63B3BB69-23CF-44E3-9099-C40C66FF867C}">
                  <a14:compatExt spid="_x0000_s11318"/>
                </a:ext>
                <a:ext uri="{FF2B5EF4-FFF2-40B4-BE49-F238E27FC236}">
                  <a16:creationId xmlns:a16="http://schemas.microsoft.com/office/drawing/2014/main" id="{00000000-0008-0000-0400-00003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292100</xdr:colOff>
          <xdr:row>31</xdr:row>
          <xdr:rowOff>63500</xdr:rowOff>
        </xdr:from>
        <xdr:to>
          <xdr:col>2</xdr:col>
          <xdr:colOff>749300</xdr:colOff>
          <xdr:row>31</xdr:row>
          <xdr:rowOff>330200</xdr:rowOff>
        </xdr:to>
        <xdr:sp macro="" textlink="">
          <xdr:nvSpPr>
            <xdr:cNvPr id="11319" name="Option Button 55" hidden="1">
              <a:extLst>
                <a:ext uri="{63B3BB69-23CF-44E3-9099-C40C66FF867C}">
                  <a14:compatExt spid="_x0000_s11319"/>
                </a:ext>
                <a:ext uri="{FF2B5EF4-FFF2-40B4-BE49-F238E27FC236}">
                  <a16:creationId xmlns:a16="http://schemas.microsoft.com/office/drawing/2014/main" id="{00000000-0008-0000-0400-00003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31</xdr:row>
          <xdr:rowOff>63500</xdr:rowOff>
        </xdr:from>
        <xdr:to>
          <xdr:col>3</xdr:col>
          <xdr:colOff>812800</xdr:colOff>
          <xdr:row>31</xdr:row>
          <xdr:rowOff>342900</xdr:rowOff>
        </xdr:to>
        <xdr:sp macro="" textlink="">
          <xdr:nvSpPr>
            <xdr:cNvPr id="11320" name="Option Button 56" hidden="1">
              <a:extLst>
                <a:ext uri="{63B3BB69-23CF-44E3-9099-C40C66FF867C}">
                  <a14:compatExt spid="_x0000_s11320"/>
                </a:ext>
                <a:ext uri="{FF2B5EF4-FFF2-40B4-BE49-F238E27FC236}">
                  <a16:creationId xmlns:a16="http://schemas.microsoft.com/office/drawing/2014/main" id="{00000000-0008-0000-0400-00003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31</xdr:row>
          <xdr:rowOff>63500</xdr:rowOff>
        </xdr:from>
        <xdr:to>
          <xdr:col>4</xdr:col>
          <xdr:colOff>800100</xdr:colOff>
          <xdr:row>31</xdr:row>
          <xdr:rowOff>342900</xdr:rowOff>
        </xdr:to>
        <xdr:sp macro="" textlink="">
          <xdr:nvSpPr>
            <xdr:cNvPr id="11321" name="Option Button 57" hidden="1">
              <a:extLst>
                <a:ext uri="{63B3BB69-23CF-44E3-9099-C40C66FF867C}">
                  <a14:compatExt spid="_x0000_s11321"/>
                </a:ext>
                <a:ext uri="{FF2B5EF4-FFF2-40B4-BE49-F238E27FC236}">
                  <a16:creationId xmlns:a16="http://schemas.microsoft.com/office/drawing/2014/main" id="{00000000-0008-0000-0400-00003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292100</xdr:colOff>
          <xdr:row>31</xdr:row>
          <xdr:rowOff>63500</xdr:rowOff>
        </xdr:from>
        <xdr:to>
          <xdr:col>5</xdr:col>
          <xdr:colOff>774700</xdr:colOff>
          <xdr:row>31</xdr:row>
          <xdr:rowOff>342900</xdr:rowOff>
        </xdr:to>
        <xdr:sp macro="" textlink="">
          <xdr:nvSpPr>
            <xdr:cNvPr id="11322" name="Option Button 58" hidden="1">
              <a:extLst>
                <a:ext uri="{63B3BB69-23CF-44E3-9099-C40C66FF867C}">
                  <a14:compatExt spid="_x0000_s11322"/>
                </a:ext>
                <a:ext uri="{FF2B5EF4-FFF2-40B4-BE49-F238E27FC236}">
                  <a16:creationId xmlns:a16="http://schemas.microsoft.com/office/drawing/2014/main" id="{00000000-0008-0000-0400-00003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31</xdr:row>
          <xdr:rowOff>50800</xdr:rowOff>
        </xdr:from>
        <xdr:to>
          <xdr:col>6</xdr:col>
          <xdr:colOff>800100</xdr:colOff>
          <xdr:row>31</xdr:row>
          <xdr:rowOff>317500</xdr:rowOff>
        </xdr:to>
        <xdr:sp macro="" textlink="">
          <xdr:nvSpPr>
            <xdr:cNvPr id="11324" name="Option Button 60" hidden="1">
              <a:extLst>
                <a:ext uri="{63B3BB69-23CF-44E3-9099-C40C66FF867C}">
                  <a14:compatExt spid="_x0000_s11324"/>
                </a:ext>
                <a:ext uri="{FF2B5EF4-FFF2-40B4-BE49-F238E27FC236}">
                  <a16:creationId xmlns:a16="http://schemas.microsoft.com/office/drawing/2014/main" id="{00000000-0008-0000-0400-00003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368300</xdr:rowOff>
        </xdr:from>
        <xdr:to>
          <xdr:col>6</xdr:col>
          <xdr:colOff>876300</xdr:colOff>
          <xdr:row>33</xdr:row>
          <xdr:rowOff>0</xdr:rowOff>
        </xdr:to>
        <xdr:sp macro="" textlink="">
          <xdr:nvSpPr>
            <xdr:cNvPr id="11325" name="Group Box 61" hidden="1">
              <a:extLst>
                <a:ext uri="{63B3BB69-23CF-44E3-9099-C40C66FF867C}">
                  <a14:compatExt spid="_x0000_s11325"/>
                </a:ext>
                <a:ext uri="{FF2B5EF4-FFF2-40B4-BE49-F238E27FC236}">
                  <a16:creationId xmlns:a16="http://schemas.microsoft.com/office/drawing/2014/main" id="{00000000-0008-0000-0400-00003D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292100</xdr:colOff>
          <xdr:row>32</xdr:row>
          <xdr:rowOff>38100</xdr:rowOff>
        </xdr:from>
        <xdr:to>
          <xdr:col>2</xdr:col>
          <xdr:colOff>774700</xdr:colOff>
          <xdr:row>32</xdr:row>
          <xdr:rowOff>406400</xdr:rowOff>
        </xdr:to>
        <xdr:sp macro="" textlink="">
          <xdr:nvSpPr>
            <xdr:cNvPr id="11326" name="Option Button 62" hidden="1">
              <a:extLst>
                <a:ext uri="{63B3BB69-23CF-44E3-9099-C40C66FF867C}">
                  <a14:compatExt spid="_x0000_s11326"/>
                </a:ext>
                <a:ext uri="{FF2B5EF4-FFF2-40B4-BE49-F238E27FC236}">
                  <a16:creationId xmlns:a16="http://schemas.microsoft.com/office/drawing/2014/main" id="{00000000-0008-0000-0400-00003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32</xdr:row>
          <xdr:rowOff>63500</xdr:rowOff>
        </xdr:from>
        <xdr:to>
          <xdr:col>3</xdr:col>
          <xdr:colOff>787400</xdr:colOff>
          <xdr:row>32</xdr:row>
          <xdr:rowOff>406400</xdr:rowOff>
        </xdr:to>
        <xdr:sp macro="" textlink="">
          <xdr:nvSpPr>
            <xdr:cNvPr id="11327" name="Option Button 63" hidden="1">
              <a:extLst>
                <a:ext uri="{63B3BB69-23CF-44E3-9099-C40C66FF867C}">
                  <a14:compatExt spid="_x0000_s11327"/>
                </a:ext>
                <a:ext uri="{FF2B5EF4-FFF2-40B4-BE49-F238E27FC236}">
                  <a16:creationId xmlns:a16="http://schemas.microsoft.com/office/drawing/2014/main" id="{00000000-0008-0000-0400-00003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32</xdr:row>
          <xdr:rowOff>38100</xdr:rowOff>
        </xdr:from>
        <xdr:to>
          <xdr:col>4</xdr:col>
          <xdr:colOff>774700</xdr:colOff>
          <xdr:row>32</xdr:row>
          <xdr:rowOff>381000</xdr:rowOff>
        </xdr:to>
        <xdr:sp macro="" textlink="">
          <xdr:nvSpPr>
            <xdr:cNvPr id="11328" name="Option Button 64" hidden="1">
              <a:extLst>
                <a:ext uri="{63B3BB69-23CF-44E3-9099-C40C66FF867C}">
                  <a14:compatExt spid="_x0000_s11328"/>
                </a:ext>
                <a:ext uri="{FF2B5EF4-FFF2-40B4-BE49-F238E27FC236}">
                  <a16:creationId xmlns:a16="http://schemas.microsoft.com/office/drawing/2014/main" id="{00000000-0008-0000-0400-00004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292100</xdr:colOff>
          <xdr:row>32</xdr:row>
          <xdr:rowOff>38100</xdr:rowOff>
        </xdr:from>
        <xdr:to>
          <xdr:col>5</xdr:col>
          <xdr:colOff>800100</xdr:colOff>
          <xdr:row>32</xdr:row>
          <xdr:rowOff>381000</xdr:rowOff>
        </xdr:to>
        <xdr:sp macro="" textlink="">
          <xdr:nvSpPr>
            <xdr:cNvPr id="11329" name="Option Button 65" hidden="1">
              <a:extLst>
                <a:ext uri="{63B3BB69-23CF-44E3-9099-C40C66FF867C}">
                  <a14:compatExt spid="_x0000_s11329"/>
                </a:ext>
                <a:ext uri="{FF2B5EF4-FFF2-40B4-BE49-F238E27FC236}">
                  <a16:creationId xmlns:a16="http://schemas.microsoft.com/office/drawing/2014/main" id="{00000000-0008-0000-0400-00004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32</xdr:row>
          <xdr:rowOff>50800</xdr:rowOff>
        </xdr:from>
        <xdr:to>
          <xdr:col>6</xdr:col>
          <xdr:colOff>800100</xdr:colOff>
          <xdr:row>32</xdr:row>
          <xdr:rowOff>381000</xdr:rowOff>
        </xdr:to>
        <xdr:sp macro="" textlink="">
          <xdr:nvSpPr>
            <xdr:cNvPr id="11332" name="Option Button 68" hidden="1">
              <a:extLst>
                <a:ext uri="{63B3BB69-23CF-44E3-9099-C40C66FF867C}">
                  <a14:compatExt spid="_x0000_s11332"/>
                </a:ext>
                <a:ext uri="{FF2B5EF4-FFF2-40B4-BE49-F238E27FC236}">
                  <a16:creationId xmlns:a16="http://schemas.microsoft.com/office/drawing/2014/main" id="{00000000-0008-0000-0400-00004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6</xdr:col>
          <xdr:colOff>876300</xdr:colOff>
          <xdr:row>33</xdr:row>
          <xdr:rowOff>317500</xdr:rowOff>
        </xdr:to>
        <xdr:sp macro="" textlink="">
          <xdr:nvSpPr>
            <xdr:cNvPr id="11333" name="Group Box 69" hidden="1">
              <a:extLst>
                <a:ext uri="{63B3BB69-23CF-44E3-9099-C40C66FF867C}">
                  <a14:compatExt spid="_x0000_s11333"/>
                </a:ext>
                <a:ext uri="{FF2B5EF4-FFF2-40B4-BE49-F238E27FC236}">
                  <a16:creationId xmlns:a16="http://schemas.microsoft.com/office/drawing/2014/main" id="{00000000-0008-0000-0400-00004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292100</xdr:colOff>
          <xdr:row>33</xdr:row>
          <xdr:rowOff>38100</xdr:rowOff>
        </xdr:from>
        <xdr:to>
          <xdr:col>2</xdr:col>
          <xdr:colOff>850900</xdr:colOff>
          <xdr:row>33</xdr:row>
          <xdr:rowOff>266700</xdr:rowOff>
        </xdr:to>
        <xdr:sp macro="" textlink="">
          <xdr:nvSpPr>
            <xdr:cNvPr id="11334" name="Option Button 70" hidden="1">
              <a:extLst>
                <a:ext uri="{63B3BB69-23CF-44E3-9099-C40C66FF867C}">
                  <a14:compatExt spid="_x0000_s11334"/>
                </a:ext>
                <a:ext uri="{FF2B5EF4-FFF2-40B4-BE49-F238E27FC236}">
                  <a16:creationId xmlns:a16="http://schemas.microsoft.com/office/drawing/2014/main" id="{00000000-0008-0000-0400-00004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33</xdr:row>
          <xdr:rowOff>50800</xdr:rowOff>
        </xdr:from>
        <xdr:to>
          <xdr:col>3</xdr:col>
          <xdr:colOff>800100</xdr:colOff>
          <xdr:row>33</xdr:row>
          <xdr:rowOff>292100</xdr:rowOff>
        </xdr:to>
        <xdr:sp macro="" textlink="">
          <xdr:nvSpPr>
            <xdr:cNvPr id="11335" name="Option Button 71" hidden="1">
              <a:extLst>
                <a:ext uri="{63B3BB69-23CF-44E3-9099-C40C66FF867C}">
                  <a14:compatExt spid="_x0000_s11335"/>
                </a:ext>
                <a:ext uri="{FF2B5EF4-FFF2-40B4-BE49-F238E27FC236}">
                  <a16:creationId xmlns:a16="http://schemas.microsoft.com/office/drawing/2014/main" id="{00000000-0008-0000-0400-00004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254000</xdr:colOff>
          <xdr:row>33</xdr:row>
          <xdr:rowOff>38100</xdr:rowOff>
        </xdr:from>
        <xdr:to>
          <xdr:col>4</xdr:col>
          <xdr:colOff>812800</xdr:colOff>
          <xdr:row>33</xdr:row>
          <xdr:rowOff>279400</xdr:rowOff>
        </xdr:to>
        <xdr:sp macro="" textlink="">
          <xdr:nvSpPr>
            <xdr:cNvPr id="11336" name="Option Button 72" hidden="1">
              <a:extLst>
                <a:ext uri="{63B3BB69-23CF-44E3-9099-C40C66FF867C}">
                  <a14:compatExt spid="_x0000_s11336"/>
                </a:ext>
                <a:ext uri="{FF2B5EF4-FFF2-40B4-BE49-F238E27FC236}">
                  <a16:creationId xmlns:a16="http://schemas.microsoft.com/office/drawing/2014/main" id="{00000000-0008-0000-0400-00004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292100</xdr:colOff>
          <xdr:row>33</xdr:row>
          <xdr:rowOff>50800</xdr:rowOff>
        </xdr:from>
        <xdr:to>
          <xdr:col>5</xdr:col>
          <xdr:colOff>825500</xdr:colOff>
          <xdr:row>33</xdr:row>
          <xdr:rowOff>279400</xdr:rowOff>
        </xdr:to>
        <xdr:sp macro="" textlink="">
          <xdr:nvSpPr>
            <xdr:cNvPr id="11337" name="Option Button 73" hidden="1">
              <a:extLst>
                <a:ext uri="{63B3BB69-23CF-44E3-9099-C40C66FF867C}">
                  <a14:compatExt spid="_x0000_s11337"/>
                </a:ext>
                <a:ext uri="{FF2B5EF4-FFF2-40B4-BE49-F238E27FC236}">
                  <a16:creationId xmlns:a16="http://schemas.microsoft.com/office/drawing/2014/main" id="{00000000-0008-0000-0400-00004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33</xdr:row>
          <xdr:rowOff>38100</xdr:rowOff>
        </xdr:from>
        <xdr:to>
          <xdr:col>6</xdr:col>
          <xdr:colOff>812800</xdr:colOff>
          <xdr:row>33</xdr:row>
          <xdr:rowOff>292100</xdr:rowOff>
        </xdr:to>
        <xdr:sp macro="" textlink="">
          <xdr:nvSpPr>
            <xdr:cNvPr id="11338" name="Option Button 74" hidden="1">
              <a:extLst>
                <a:ext uri="{63B3BB69-23CF-44E3-9099-C40C66FF867C}">
                  <a14:compatExt spid="_x0000_s11338"/>
                </a:ext>
                <a:ext uri="{FF2B5EF4-FFF2-40B4-BE49-F238E27FC236}">
                  <a16:creationId xmlns:a16="http://schemas.microsoft.com/office/drawing/2014/main" id="{00000000-0008-0000-0400-00004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6</xdr:col>
          <xdr:colOff>876300</xdr:colOff>
          <xdr:row>35</xdr:row>
          <xdr:rowOff>12700</xdr:rowOff>
        </xdr:to>
        <xdr:sp macro="" textlink="">
          <xdr:nvSpPr>
            <xdr:cNvPr id="11339" name="Group Box 75" hidden="1">
              <a:extLst>
                <a:ext uri="{63B3BB69-23CF-44E3-9099-C40C66FF867C}">
                  <a14:compatExt spid="_x0000_s11339"/>
                </a:ext>
                <a:ext uri="{FF2B5EF4-FFF2-40B4-BE49-F238E27FC236}">
                  <a16:creationId xmlns:a16="http://schemas.microsoft.com/office/drawing/2014/main" id="{00000000-0008-0000-0400-00004B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292100</xdr:colOff>
          <xdr:row>34</xdr:row>
          <xdr:rowOff>63500</xdr:rowOff>
        </xdr:from>
        <xdr:to>
          <xdr:col>2</xdr:col>
          <xdr:colOff>723900</xdr:colOff>
          <xdr:row>34</xdr:row>
          <xdr:rowOff>444500</xdr:rowOff>
        </xdr:to>
        <xdr:sp macro="" textlink="">
          <xdr:nvSpPr>
            <xdr:cNvPr id="11340" name="Option Button 76" hidden="1">
              <a:extLst>
                <a:ext uri="{63B3BB69-23CF-44E3-9099-C40C66FF867C}">
                  <a14:compatExt spid="_x0000_s11340"/>
                </a:ext>
                <a:ext uri="{FF2B5EF4-FFF2-40B4-BE49-F238E27FC236}">
                  <a16:creationId xmlns:a16="http://schemas.microsoft.com/office/drawing/2014/main" id="{00000000-0008-0000-0400-00004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34</xdr:row>
          <xdr:rowOff>76200</xdr:rowOff>
        </xdr:from>
        <xdr:to>
          <xdr:col>3</xdr:col>
          <xdr:colOff>749300</xdr:colOff>
          <xdr:row>34</xdr:row>
          <xdr:rowOff>406400</xdr:rowOff>
        </xdr:to>
        <xdr:sp macro="" textlink="">
          <xdr:nvSpPr>
            <xdr:cNvPr id="11341" name="Option Button 77" hidden="1">
              <a:extLst>
                <a:ext uri="{63B3BB69-23CF-44E3-9099-C40C66FF867C}">
                  <a14:compatExt spid="_x0000_s11341"/>
                </a:ext>
                <a:ext uri="{FF2B5EF4-FFF2-40B4-BE49-F238E27FC236}">
                  <a16:creationId xmlns:a16="http://schemas.microsoft.com/office/drawing/2014/main" id="{00000000-0008-0000-0400-00004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34</xdr:row>
          <xdr:rowOff>76200</xdr:rowOff>
        </xdr:from>
        <xdr:to>
          <xdr:col>4</xdr:col>
          <xdr:colOff>749300</xdr:colOff>
          <xdr:row>34</xdr:row>
          <xdr:rowOff>419100</xdr:rowOff>
        </xdr:to>
        <xdr:sp macro="" textlink="">
          <xdr:nvSpPr>
            <xdr:cNvPr id="11342" name="Option Button 78" hidden="1">
              <a:extLst>
                <a:ext uri="{63B3BB69-23CF-44E3-9099-C40C66FF867C}">
                  <a14:compatExt spid="_x0000_s11342"/>
                </a:ext>
                <a:ext uri="{FF2B5EF4-FFF2-40B4-BE49-F238E27FC236}">
                  <a16:creationId xmlns:a16="http://schemas.microsoft.com/office/drawing/2014/main" id="{00000000-0008-0000-0400-00004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292100</xdr:colOff>
          <xdr:row>34</xdr:row>
          <xdr:rowOff>50800</xdr:rowOff>
        </xdr:from>
        <xdr:to>
          <xdr:col>5</xdr:col>
          <xdr:colOff>749300</xdr:colOff>
          <xdr:row>34</xdr:row>
          <xdr:rowOff>431800</xdr:rowOff>
        </xdr:to>
        <xdr:sp macro="" textlink="">
          <xdr:nvSpPr>
            <xdr:cNvPr id="11343" name="Option Button 79" hidden="1">
              <a:extLst>
                <a:ext uri="{63B3BB69-23CF-44E3-9099-C40C66FF867C}">
                  <a14:compatExt spid="_x0000_s11343"/>
                </a:ext>
                <a:ext uri="{FF2B5EF4-FFF2-40B4-BE49-F238E27FC236}">
                  <a16:creationId xmlns:a16="http://schemas.microsoft.com/office/drawing/2014/main" id="{00000000-0008-0000-0400-00004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34</xdr:row>
          <xdr:rowOff>50800</xdr:rowOff>
        </xdr:from>
        <xdr:to>
          <xdr:col>6</xdr:col>
          <xdr:colOff>736600</xdr:colOff>
          <xdr:row>34</xdr:row>
          <xdr:rowOff>431800</xdr:rowOff>
        </xdr:to>
        <xdr:sp macro="" textlink="">
          <xdr:nvSpPr>
            <xdr:cNvPr id="11344" name="Option Button 80" hidden="1">
              <a:extLst>
                <a:ext uri="{63B3BB69-23CF-44E3-9099-C40C66FF867C}">
                  <a14:compatExt spid="_x0000_s11344"/>
                </a:ext>
                <a:ext uri="{FF2B5EF4-FFF2-40B4-BE49-F238E27FC236}">
                  <a16:creationId xmlns:a16="http://schemas.microsoft.com/office/drawing/2014/main" id="{00000000-0008-0000-0400-00005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6</xdr:col>
          <xdr:colOff>889000</xdr:colOff>
          <xdr:row>35</xdr:row>
          <xdr:rowOff>571500</xdr:rowOff>
        </xdr:to>
        <xdr:sp macro="" textlink="">
          <xdr:nvSpPr>
            <xdr:cNvPr id="11345" name="Group Box 81" hidden="1">
              <a:extLst>
                <a:ext uri="{63B3BB69-23CF-44E3-9099-C40C66FF867C}">
                  <a14:compatExt spid="_x0000_s11345"/>
                </a:ext>
                <a:ext uri="{FF2B5EF4-FFF2-40B4-BE49-F238E27FC236}">
                  <a16:creationId xmlns:a16="http://schemas.microsoft.com/office/drawing/2014/main" id="{00000000-0008-0000-0400-000051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292100</xdr:colOff>
          <xdr:row>35</xdr:row>
          <xdr:rowOff>127000</xdr:rowOff>
        </xdr:from>
        <xdr:to>
          <xdr:col>2</xdr:col>
          <xdr:colOff>787400</xdr:colOff>
          <xdr:row>35</xdr:row>
          <xdr:rowOff>495300</xdr:rowOff>
        </xdr:to>
        <xdr:sp macro="" textlink="">
          <xdr:nvSpPr>
            <xdr:cNvPr id="11346" name="Option Button 82" hidden="1">
              <a:extLst>
                <a:ext uri="{63B3BB69-23CF-44E3-9099-C40C66FF867C}">
                  <a14:compatExt spid="_x0000_s11346"/>
                </a:ext>
                <a:ext uri="{FF2B5EF4-FFF2-40B4-BE49-F238E27FC236}">
                  <a16:creationId xmlns:a16="http://schemas.microsoft.com/office/drawing/2014/main" id="{00000000-0008-0000-0400-00005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35</xdr:row>
          <xdr:rowOff>127000</xdr:rowOff>
        </xdr:from>
        <xdr:to>
          <xdr:col>3</xdr:col>
          <xdr:colOff>838200</xdr:colOff>
          <xdr:row>35</xdr:row>
          <xdr:rowOff>508000</xdr:rowOff>
        </xdr:to>
        <xdr:sp macro="" textlink="">
          <xdr:nvSpPr>
            <xdr:cNvPr id="11347" name="Option Button 83" hidden="1">
              <a:extLst>
                <a:ext uri="{63B3BB69-23CF-44E3-9099-C40C66FF867C}">
                  <a14:compatExt spid="_x0000_s11347"/>
                </a:ext>
                <a:ext uri="{FF2B5EF4-FFF2-40B4-BE49-F238E27FC236}">
                  <a16:creationId xmlns:a16="http://schemas.microsoft.com/office/drawing/2014/main" id="{00000000-0008-0000-0400-00005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35</xdr:row>
          <xdr:rowOff>139700</xdr:rowOff>
        </xdr:from>
        <xdr:to>
          <xdr:col>4</xdr:col>
          <xdr:colOff>762000</xdr:colOff>
          <xdr:row>35</xdr:row>
          <xdr:rowOff>508000</xdr:rowOff>
        </xdr:to>
        <xdr:sp macro="" textlink="">
          <xdr:nvSpPr>
            <xdr:cNvPr id="11348" name="Option Button 84" hidden="1">
              <a:extLst>
                <a:ext uri="{63B3BB69-23CF-44E3-9099-C40C66FF867C}">
                  <a14:compatExt spid="_x0000_s11348"/>
                </a:ext>
                <a:ext uri="{FF2B5EF4-FFF2-40B4-BE49-F238E27FC236}">
                  <a16:creationId xmlns:a16="http://schemas.microsoft.com/office/drawing/2014/main" id="{00000000-0008-0000-0400-00005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139700</xdr:rowOff>
        </xdr:from>
        <xdr:to>
          <xdr:col>5</xdr:col>
          <xdr:colOff>774700</xdr:colOff>
          <xdr:row>35</xdr:row>
          <xdr:rowOff>508000</xdr:rowOff>
        </xdr:to>
        <xdr:sp macro="" textlink="">
          <xdr:nvSpPr>
            <xdr:cNvPr id="11349" name="Option Button 85" hidden="1">
              <a:extLst>
                <a:ext uri="{63B3BB69-23CF-44E3-9099-C40C66FF867C}">
                  <a14:compatExt spid="_x0000_s11349"/>
                </a:ext>
                <a:ext uri="{FF2B5EF4-FFF2-40B4-BE49-F238E27FC236}">
                  <a16:creationId xmlns:a16="http://schemas.microsoft.com/office/drawing/2014/main" id="{00000000-0008-0000-0400-00005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35</xdr:row>
          <xdr:rowOff>139700</xdr:rowOff>
        </xdr:from>
        <xdr:to>
          <xdr:col>6</xdr:col>
          <xdr:colOff>800100</xdr:colOff>
          <xdr:row>35</xdr:row>
          <xdr:rowOff>508000</xdr:rowOff>
        </xdr:to>
        <xdr:sp macro="" textlink="">
          <xdr:nvSpPr>
            <xdr:cNvPr id="11350" name="Option Button 86" hidden="1">
              <a:extLst>
                <a:ext uri="{63B3BB69-23CF-44E3-9099-C40C66FF867C}">
                  <a14:compatExt spid="_x0000_s11350"/>
                </a:ext>
                <a:ext uri="{FF2B5EF4-FFF2-40B4-BE49-F238E27FC236}">
                  <a16:creationId xmlns:a16="http://schemas.microsoft.com/office/drawing/2014/main" id="{00000000-0008-0000-0400-00005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3</xdr:row>
          <xdr:rowOff>139700</xdr:rowOff>
        </xdr:from>
        <xdr:to>
          <xdr:col>1</xdr:col>
          <xdr:colOff>0</xdr:colOff>
          <xdr:row>5</xdr:row>
          <xdr:rowOff>38100</xdr:rowOff>
        </xdr:to>
        <xdr:sp macro="" textlink="">
          <xdr:nvSpPr>
            <xdr:cNvPr id="15362" name="Check Box 2" descr="Accelerated program&#10;" hidden="1">
              <a:extLst>
                <a:ext uri="{63B3BB69-23CF-44E3-9099-C40C66FF867C}">
                  <a14:compatExt spid="_x0000_s15362"/>
                </a:ext>
                <a:ext uri="{FF2B5EF4-FFF2-40B4-BE49-F238E27FC236}">
                  <a16:creationId xmlns:a16="http://schemas.microsoft.com/office/drawing/2014/main" id="{00000000-0008-0000-0500-000002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5</xdr:row>
          <xdr:rowOff>38100</xdr:rowOff>
        </xdr:from>
        <xdr:to>
          <xdr:col>1</xdr:col>
          <xdr:colOff>25400</xdr:colOff>
          <xdr:row>5</xdr:row>
          <xdr:rowOff>266700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500-000003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5</xdr:row>
          <xdr:rowOff>292100</xdr:rowOff>
        </xdr:from>
        <xdr:to>
          <xdr:col>1</xdr:col>
          <xdr:colOff>0</xdr:colOff>
          <xdr:row>7</xdr:row>
          <xdr:rowOff>25400</xdr:rowOff>
        </xdr:to>
        <xdr:sp macro="" textlink="">
          <xdr:nvSpPr>
            <xdr:cNvPr id="15364" name="Check Box 4" descr="Cross-registration" hidden="1">
              <a:extLst>
                <a:ext uri="{63B3BB69-23CF-44E3-9099-C40C66FF867C}">
                  <a14:compatExt spid="_x0000_s15364"/>
                </a:ext>
                <a:ext uri="{FF2B5EF4-FFF2-40B4-BE49-F238E27FC236}">
                  <a16:creationId xmlns:a16="http://schemas.microsoft.com/office/drawing/2014/main" id="{00000000-0008-0000-0500-000004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6</xdr:row>
          <xdr:rowOff>139700</xdr:rowOff>
        </xdr:from>
        <xdr:to>
          <xdr:col>1</xdr:col>
          <xdr:colOff>12700</xdr:colOff>
          <xdr:row>8</xdr:row>
          <xdr:rowOff>38100</xdr:rowOff>
        </xdr:to>
        <xdr:sp macro="" textlink="">
          <xdr:nvSpPr>
            <xdr:cNvPr id="15365" name="Check Box 5" descr="Distance learning" hidden="1">
              <a:extLst>
                <a:ext uri="{63B3BB69-23CF-44E3-9099-C40C66FF867C}">
                  <a14:compatExt spid="_x0000_s15365"/>
                </a:ext>
                <a:ext uri="{FF2B5EF4-FFF2-40B4-BE49-F238E27FC236}">
                  <a16:creationId xmlns:a16="http://schemas.microsoft.com/office/drawing/2014/main" id="{00000000-0008-0000-0500-000005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xdr:row>
          <xdr:rowOff>127000</xdr:rowOff>
        </xdr:from>
        <xdr:to>
          <xdr:col>1</xdr:col>
          <xdr:colOff>0</xdr:colOff>
          <xdr:row>9</xdr:row>
          <xdr:rowOff>38100</xdr:rowOff>
        </xdr:to>
        <xdr:sp macro="" textlink="">
          <xdr:nvSpPr>
            <xdr:cNvPr id="15366" name="Check Box 6" descr="Double major" hidden="1">
              <a:extLst>
                <a:ext uri="{63B3BB69-23CF-44E3-9099-C40C66FF867C}">
                  <a14:compatExt spid="_x0000_s15366"/>
                </a:ext>
                <a:ext uri="{FF2B5EF4-FFF2-40B4-BE49-F238E27FC236}">
                  <a16:creationId xmlns:a16="http://schemas.microsoft.com/office/drawing/2014/main" id="{00000000-0008-0000-0500-000006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xdr:row>
          <xdr:rowOff>139700</xdr:rowOff>
        </xdr:from>
        <xdr:to>
          <xdr:col>1</xdr:col>
          <xdr:colOff>38100</xdr:colOff>
          <xdr:row>10</xdr:row>
          <xdr:rowOff>25400</xdr:rowOff>
        </xdr:to>
        <xdr:sp macro="" textlink="">
          <xdr:nvSpPr>
            <xdr:cNvPr id="15367" name="Check Box 7" descr="Dual enrollment" hidden="1">
              <a:extLst>
                <a:ext uri="{63B3BB69-23CF-44E3-9099-C40C66FF867C}">
                  <a14:compatExt spid="_x0000_s15367"/>
                </a:ext>
                <a:ext uri="{FF2B5EF4-FFF2-40B4-BE49-F238E27FC236}">
                  <a16:creationId xmlns:a16="http://schemas.microsoft.com/office/drawing/2014/main" id="{00000000-0008-0000-0500-000007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9</xdr:row>
          <xdr:rowOff>127000</xdr:rowOff>
        </xdr:from>
        <xdr:to>
          <xdr:col>1</xdr:col>
          <xdr:colOff>88900</xdr:colOff>
          <xdr:row>11</xdr:row>
          <xdr:rowOff>50800</xdr:rowOff>
        </xdr:to>
        <xdr:sp macro="" textlink="">
          <xdr:nvSpPr>
            <xdr:cNvPr id="15368" name="Check Box 8" descr="English as a Second Language (ESL)" hidden="1">
              <a:extLst>
                <a:ext uri="{63B3BB69-23CF-44E3-9099-C40C66FF867C}">
                  <a14:compatExt spid="_x0000_s15368"/>
                </a:ext>
                <a:ext uri="{FF2B5EF4-FFF2-40B4-BE49-F238E27FC236}">
                  <a16:creationId xmlns:a16="http://schemas.microsoft.com/office/drawing/2014/main" id="{00000000-0008-0000-0500-000008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10</xdr:row>
          <xdr:rowOff>139700</xdr:rowOff>
        </xdr:from>
        <xdr:to>
          <xdr:col>1</xdr:col>
          <xdr:colOff>25400</xdr:colOff>
          <xdr:row>12</xdr:row>
          <xdr:rowOff>38100</xdr:rowOff>
        </xdr:to>
        <xdr:sp macro="" textlink="">
          <xdr:nvSpPr>
            <xdr:cNvPr id="15369" name="Check Box 9" descr="Exchange student program (domestic)" hidden="1">
              <a:extLst>
                <a:ext uri="{63B3BB69-23CF-44E3-9099-C40C66FF867C}">
                  <a14:compatExt spid="_x0000_s15369"/>
                </a:ext>
                <a:ext uri="{FF2B5EF4-FFF2-40B4-BE49-F238E27FC236}">
                  <a16:creationId xmlns:a16="http://schemas.microsoft.com/office/drawing/2014/main" id="{00000000-0008-0000-0500-000009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11</xdr:row>
          <xdr:rowOff>127000</xdr:rowOff>
        </xdr:from>
        <xdr:to>
          <xdr:col>1</xdr:col>
          <xdr:colOff>114300</xdr:colOff>
          <xdr:row>13</xdr:row>
          <xdr:rowOff>50800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500-00000A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xdr:row>
          <xdr:rowOff>127000</xdr:rowOff>
        </xdr:from>
        <xdr:to>
          <xdr:col>1</xdr:col>
          <xdr:colOff>114300</xdr:colOff>
          <xdr:row>14</xdr:row>
          <xdr:rowOff>38100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500-00000B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13</xdr:row>
          <xdr:rowOff>127000</xdr:rowOff>
        </xdr:from>
        <xdr:to>
          <xdr:col>1</xdr:col>
          <xdr:colOff>0</xdr:colOff>
          <xdr:row>15</xdr:row>
          <xdr:rowOff>25400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500-00000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xdr:row>
          <xdr:rowOff>127000</xdr:rowOff>
        </xdr:from>
        <xdr:to>
          <xdr:col>1</xdr:col>
          <xdr:colOff>38100</xdr:colOff>
          <xdr:row>16</xdr:row>
          <xdr:rowOff>25400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500-00000D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xdr:row>
          <xdr:rowOff>127000</xdr:rowOff>
        </xdr:from>
        <xdr:to>
          <xdr:col>1</xdr:col>
          <xdr:colOff>88900</xdr:colOff>
          <xdr:row>17</xdr:row>
          <xdr:rowOff>25400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500-00000E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16</xdr:row>
          <xdr:rowOff>127000</xdr:rowOff>
        </xdr:from>
        <xdr:to>
          <xdr:col>1</xdr:col>
          <xdr:colOff>38100</xdr:colOff>
          <xdr:row>18</xdr:row>
          <xdr:rowOff>38100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500-00000F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17</xdr:row>
          <xdr:rowOff>139700</xdr:rowOff>
        </xdr:from>
        <xdr:to>
          <xdr:col>1</xdr:col>
          <xdr:colOff>25400</xdr:colOff>
          <xdr:row>19</xdr:row>
          <xdr:rowOff>38100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500-000010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xdr:row>
          <xdr:rowOff>127000</xdr:rowOff>
        </xdr:from>
        <xdr:to>
          <xdr:col>1</xdr:col>
          <xdr:colOff>76200</xdr:colOff>
          <xdr:row>20</xdr:row>
          <xdr:rowOff>38100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500-000011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139700</xdr:rowOff>
        </xdr:from>
        <xdr:to>
          <xdr:col>1</xdr:col>
          <xdr:colOff>190500</xdr:colOff>
          <xdr:row>21</xdr:row>
          <xdr:rowOff>38100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500-000012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21</xdr:row>
          <xdr:rowOff>152400</xdr:rowOff>
        </xdr:from>
        <xdr:to>
          <xdr:col>1</xdr:col>
          <xdr:colOff>25400</xdr:colOff>
          <xdr:row>23</xdr:row>
          <xdr:rowOff>50800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500-000013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26</xdr:row>
          <xdr:rowOff>381000</xdr:rowOff>
        </xdr:from>
        <xdr:to>
          <xdr:col>1</xdr:col>
          <xdr:colOff>1676400</xdr:colOff>
          <xdr:row>28</xdr:row>
          <xdr:rowOff>12700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500-000014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28</xdr:row>
          <xdr:rowOff>292100</xdr:rowOff>
        </xdr:from>
        <xdr:to>
          <xdr:col>1</xdr:col>
          <xdr:colOff>38100</xdr:colOff>
          <xdr:row>30</xdr:row>
          <xdr:rowOff>25400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500-000015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30</xdr:row>
          <xdr:rowOff>0</xdr:rowOff>
        </xdr:from>
        <xdr:to>
          <xdr:col>1</xdr:col>
          <xdr:colOff>1485900</xdr:colOff>
          <xdr:row>31</xdr:row>
          <xdr:rowOff>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500-000016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31</xdr:row>
          <xdr:rowOff>0</xdr:rowOff>
        </xdr:from>
        <xdr:to>
          <xdr:col>1</xdr:col>
          <xdr:colOff>1600200</xdr:colOff>
          <xdr:row>32</xdr:row>
          <xdr:rowOff>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500-000017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endParaRPr lang="en-US" sz="1200" b="0" i="0" u="none" strike="noStrike" baseline="0">
                <a:solidFill>
                  <a:srgbClr val="000000"/>
                </a:solidFill>
                <a:latin typeface="Calibri"/>
                <a:cs typeface="Calibri"/>
              </a:endParaRPr>
            </a:p>
            <a:p>
              <a:pPr algn="l" rtl="0">
                <a:defRPr sz="1000"/>
              </a:pPr>
              <a:endParaRPr lang="en-US" sz="1200" b="0" i="0" u="none" strike="noStrike" baseline="0">
                <a:solidFill>
                  <a:srgbClr val="000000"/>
                </a:solidFill>
                <a:latin typeface="Calibri"/>
                <a:cs typeface="Calibri"/>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32</xdr:row>
          <xdr:rowOff>0</xdr:rowOff>
        </xdr:from>
        <xdr:to>
          <xdr:col>1</xdr:col>
          <xdr:colOff>1549400</xdr:colOff>
          <xdr:row>33</xdr:row>
          <xdr:rowOff>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500-000018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33</xdr:row>
          <xdr:rowOff>0</xdr:rowOff>
        </xdr:from>
        <xdr:to>
          <xdr:col>1</xdr:col>
          <xdr:colOff>1066800</xdr:colOff>
          <xdr:row>34</xdr:row>
          <xdr:rowOff>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500-000019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35</xdr:row>
          <xdr:rowOff>0</xdr:rowOff>
        </xdr:from>
        <xdr:to>
          <xdr:col>1</xdr:col>
          <xdr:colOff>1816100</xdr:colOff>
          <xdr:row>36</xdr:row>
          <xdr:rowOff>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500-00001A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endParaRPr lang="en-US" sz="1200" b="0" i="0" u="none" strike="noStrike" baseline="0">
                <a:solidFill>
                  <a:srgbClr val="000000"/>
                </a:solidFill>
                <a:latin typeface="Calibri"/>
                <a:cs typeface="Calibri"/>
              </a:endParaRPr>
            </a:p>
            <a:p>
              <a:pPr algn="l" rtl="0">
                <a:defRPr sz="1000"/>
              </a:pPr>
              <a:endParaRPr lang="en-US" sz="1200" b="0" i="0" u="none" strike="noStrike" baseline="0">
                <a:solidFill>
                  <a:srgbClr val="000000"/>
                </a:solidFill>
                <a:latin typeface="Calibri"/>
                <a:cs typeface="Calibri"/>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36</xdr:row>
          <xdr:rowOff>0</xdr:rowOff>
        </xdr:from>
        <xdr:to>
          <xdr:col>1</xdr:col>
          <xdr:colOff>1371600</xdr:colOff>
          <xdr:row>37</xdr:row>
          <xdr:rowOff>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500-00001B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38</xdr:row>
          <xdr:rowOff>0</xdr:rowOff>
        </xdr:from>
        <xdr:to>
          <xdr:col>1</xdr:col>
          <xdr:colOff>2184400</xdr:colOff>
          <xdr:row>39</xdr:row>
          <xdr:rowOff>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500-00001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39</xdr:row>
          <xdr:rowOff>0</xdr:rowOff>
        </xdr:from>
        <xdr:to>
          <xdr:col>1</xdr:col>
          <xdr:colOff>2451100</xdr:colOff>
          <xdr:row>40</xdr:row>
          <xdr:rowOff>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500-00001D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40</xdr:row>
          <xdr:rowOff>0</xdr:rowOff>
        </xdr:from>
        <xdr:to>
          <xdr:col>1</xdr:col>
          <xdr:colOff>2374900</xdr:colOff>
          <xdr:row>41</xdr:row>
          <xdr:rowOff>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500-00001E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20</xdr:row>
          <xdr:rowOff>165100</xdr:rowOff>
        </xdr:from>
        <xdr:to>
          <xdr:col>1</xdr:col>
          <xdr:colOff>63500</xdr:colOff>
          <xdr:row>22</xdr:row>
          <xdr:rowOff>38100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500-00001F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33</xdr:row>
          <xdr:rowOff>165100</xdr:rowOff>
        </xdr:from>
        <xdr:to>
          <xdr:col>1</xdr:col>
          <xdr:colOff>25400</xdr:colOff>
          <xdr:row>35</xdr:row>
          <xdr:rowOff>12700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500-000020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37</xdr:row>
          <xdr:rowOff>0</xdr:rowOff>
        </xdr:from>
        <xdr:to>
          <xdr:col>0</xdr:col>
          <xdr:colOff>292100</xdr:colOff>
          <xdr:row>38</xdr:row>
          <xdr:rowOff>12700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500-000021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28</xdr:row>
          <xdr:rowOff>12700</xdr:rowOff>
        </xdr:from>
        <xdr:to>
          <xdr:col>1</xdr:col>
          <xdr:colOff>25400</xdr:colOff>
          <xdr:row>28</xdr:row>
          <xdr:rowOff>279400</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500-000022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15</xdr:row>
          <xdr:rowOff>12700</xdr:rowOff>
        </xdr:from>
        <xdr:to>
          <xdr:col>1</xdr:col>
          <xdr:colOff>12700</xdr:colOff>
          <xdr:row>16</xdr:row>
          <xdr:rowOff>12700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25400</xdr:rowOff>
        </xdr:from>
        <xdr:to>
          <xdr:col>0</xdr:col>
          <xdr:colOff>228600</xdr:colOff>
          <xdr:row>16</xdr:row>
          <xdr:rowOff>190500</xdr:rowOff>
        </xdr:to>
        <xdr:sp macro="" textlink="">
          <xdr:nvSpPr>
            <xdr:cNvPr id="17410" name="Check Box 2" descr="Choral groups" hidden="1">
              <a:extLst>
                <a:ext uri="{63B3BB69-23CF-44E3-9099-C40C66FF867C}">
                  <a14:compatExt spid="_x0000_s17410"/>
                </a:ext>
                <a:ext uri="{FF2B5EF4-FFF2-40B4-BE49-F238E27FC236}">
                  <a16:creationId xmlns:a16="http://schemas.microsoft.com/office/drawing/2014/main" id="{00000000-0008-0000-0600-00000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12700</xdr:rowOff>
        </xdr:from>
        <xdr:to>
          <xdr:col>1</xdr:col>
          <xdr:colOff>12700</xdr:colOff>
          <xdr:row>18</xdr:row>
          <xdr:rowOff>12700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600-00000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12700</xdr:rowOff>
        </xdr:from>
        <xdr:to>
          <xdr:col>1</xdr:col>
          <xdr:colOff>0</xdr:colOff>
          <xdr:row>19</xdr:row>
          <xdr:rowOff>12700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600-00000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25400</xdr:rowOff>
        </xdr:from>
        <xdr:to>
          <xdr:col>1</xdr:col>
          <xdr:colOff>0</xdr:colOff>
          <xdr:row>19</xdr:row>
          <xdr:rowOff>190500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600-00000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25400</xdr:rowOff>
        </xdr:from>
        <xdr:to>
          <xdr:col>1</xdr:col>
          <xdr:colOff>0</xdr:colOff>
          <xdr:row>20</xdr:row>
          <xdr:rowOff>203200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600-00000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25400</xdr:rowOff>
        </xdr:from>
        <xdr:to>
          <xdr:col>1</xdr:col>
          <xdr:colOff>12700</xdr:colOff>
          <xdr:row>22</xdr:row>
          <xdr:rowOff>12700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600-00000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25400</xdr:rowOff>
        </xdr:from>
        <xdr:to>
          <xdr:col>0</xdr:col>
          <xdr:colOff>228600</xdr:colOff>
          <xdr:row>23</xdr:row>
          <xdr:rowOff>12700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600-00000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25400</xdr:rowOff>
        </xdr:from>
        <xdr:to>
          <xdr:col>1</xdr:col>
          <xdr:colOff>12700</xdr:colOff>
          <xdr:row>24</xdr:row>
          <xdr:rowOff>12700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600-00000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25400</xdr:rowOff>
        </xdr:from>
        <xdr:to>
          <xdr:col>1</xdr:col>
          <xdr:colOff>0</xdr:colOff>
          <xdr:row>24</xdr:row>
          <xdr:rowOff>203200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600-00000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12700</xdr:rowOff>
        </xdr:from>
        <xdr:to>
          <xdr:col>0</xdr:col>
          <xdr:colOff>241300</xdr:colOff>
          <xdr:row>26</xdr:row>
          <xdr:rowOff>12700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600-00000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25400</xdr:rowOff>
        </xdr:from>
        <xdr:to>
          <xdr:col>1</xdr:col>
          <xdr:colOff>0</xdr:colOff>
          <xdr:row>27</xdr:row>
          <xdr:rowOff>12700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600-00000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12700</xdr:rowOff>
        </xdr:from>
        <xdr:to>
          <xdr:col>1</xdr:col>
          <xdr:colOff>12700</xdr:colOff>
          <xdr:row>28</xdr:row>
          <xdr:rowOff>12700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600-00000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12700</xdr:rowOff>
        </xdr:from>
        <xdr:to>
          <xdr:col>1</xdr:col>
          <xdr:colOff>12700</xdr:colOff>
          <xdr:row>29</xdr:row>
          <xdr:rowOff>12700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600-00000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12700</xdr:rowOff>
        </xdr:from>
        <xdr:to>
          <xdr:col>1</xdr:col>
          <xdr:colOff>0</xdr:colOff>
          <xdr:row>30</xdr:row>
          <xdr:rowOff>12700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600-00000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12700</xdr:rowOff>
        </xdr:from>
        <xdr:to>
          <xdr:col>0</xdr:col>
          <xdr:colOff>228600</xdr:colOff>
          <xdr:row>30</xdr:row>
          <xdr:rowOff>203200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600-00001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0</xdr:col>
          <xdr:colOff>228600</xdr:colOff>
          <xdr:row>32</xdr:row>
          <xdr:rowOff>12700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600-00001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25400</xdr:rowOff>
        </xdr:from>
        <xdr:to>
          <xdr:col>1</xdr:col>
          <xdr:colOff>0</xdr:colOff>
          <xdr:row>33</xdr:row>
          <xdr:rowOff>12700</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600-00001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25400</xdr:rowOff>
        </xdr:from>
        <xdr:to>
          <xdr:col>1</xdr:col>
          <xdr:colOff>0</xdr:colOff>
          <xdr:row>33</xdr:row>
          <xdr:rowOff>203200</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0600-00001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12700</xdr:rowOff>
        </xdr:from>
        <xdr:to>
          <xdr:col>1</xdr:col>
          <xdr:colOff>12700</xdr:colOff>
          <xdr:row>35</xdr:row>
          <xdr:rowOff>12700</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600-00001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12700</xdr:rowOff>
        </xdr:from>
        <xdr:to>
          <xdr:col>1</xdr:col>
          <xdr:colOff>12700</xdr:colOff>
          <xdr:row>36</xdr:row>
          <xdr:rowOff>12700</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600-00001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39</xdr:row>
          <xdr:rowOff>12700</xdr:rowOff>
        </xdr:from>
        <xdr:to>
          <xdr:col>3</xdr:col>
          <xdr:colOff>495300</xdr:colOff>
          <xdr:row>39</xdr:row>
          <xdr:rowOff>152400</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600-00001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40</xdr:row>
          <xdr:rowOff>0</xdr:rowOff>
        </xdr:from>
        <xdr:to>
          <xdr:col>3</xdr:col>
          <xdr:colOff>482600</xdr:colOff>
          <xdr:row>40</xdr:row>
          <xdr:rowOff>152400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600-00001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41</xdr:row>
          <xdr:rowOff>0</xdr:rowOff>
        </xdr:from>
        <xdr:to>
          <xdr:col>3</xdr:col>
          <xdr:colOff>495300</xdr:colOff>
          <xdr:row>42</xdr:row>
          <xdr:rowOff>12700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600-00001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368300</xdr:colOff>
          <xdr:row>39</xdr:row>
          <xdr:rowOff>25400</xdr:rowOff>
        </xdr:from>
        <xdr:to>
          <xdr:col>4</xdr:col>
          <xdr:colOff>622300</xdr:colOff>
          <xdr:row>40</xdr:row>
          <xdr:rowOff>0</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600-00001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368300</xdr:colOff>
          <xdr:row>40</xdr:row>
          <xdr:rowOff>12700</xdr:rowOff>
        </xdr:from>
        <xdr:to>
          <xdr:col>4</xdr:col>
          <xdr:colOff>660400</xdr:colOff>
          <xdr:row>41</xdr:row>
          <xdr:rowOff>25400</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600-00001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368300</xdr:colOff>
          <xdr:row>41</xdr:row>
          <xdr:rowOff>12700</xdr:rowOff>
        </xdr:from>
        <xdr:to>
          <xdr:col>4</xdr:col>
          <xdr:colOff>622300</xdr:colOff>
          <xdr:row>41</xdr:row>
          <xdr:rowOff>152400</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00000000-0008-0000-0600-00001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12700</xdr:rowOff>
        </xdr:from>
        <xdr:to>
          <xdr:col>1</xdr:col>
          <xdr:colOff>0</xdr:colOff>
          <xdr:row>46</xdr:row>
          <xdr:rowOff>25400</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0600-00001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12700</xdr:rowOff>
        </xdr:from>
        <xdr:to>
          <xdr:col>0</xdr:col>
          <xdr:colOff>228600</xdr:colOff>
          <xdr:row>47</xdr:row>
          <xdr:rowOff>12700</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600-00001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12700</xdr:rowOff>
        </xdr:from>
        <xdr:to>
          <xdr:col>1</xdr:col>
          <xdr:colOff>0</xdr:colOff>
          <xdr:row>47</xdr:row>
          <xdr:rowOff>190500</xdr:rowOff>
        </xdr:to>
        <xdr:sp macro="" textlink="">
          <xdr:nvSpPr>
            <xdr:cNvPr id="17439" name="Check Box 31" hidden="1">
              <a:extLst>
                <a:ext uri="{63B3BB69-23CF-44E3-9099-C40C66FF867C}">
                  <a14:compatExt spid="_x0000_s17439"/>
                </a:ext>
                <a:ext uri="{FF2B5EF4-FFF2-40B4-BE49-F238E27FC236}">
                  <a16:creationId xmlns:a16="http://schemas.microsoft.com/office/drawing/2014/main" id="{00000000-0008-0000-0600-00001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12700</xdr:rowOff>
        </xdr:from>
        <xdr:to>
          <xdr:col>1</xdr:col>
          <xdr:colOff>0</xdr:colOff>
          <xdr:row>49</xdr:row>
          <xdr:rowOff>12700</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600-00002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190500</xdr:rowOff>
        </xdr:from>
        <xdr:to>
          <xdr:col>0</xdr:col>
          <xdr:colOff>228600</xdr:colOff>
          <xdr:row>50</xdr:row>
          <xdr:rowOff>12700</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600-00002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0</xdr:rowOff>
        </xdr:from>
        <xdr:to>
          <xdr:col>1</xdr:col>
          <xdr:colOff>12700</xdr:colOff>
          <xdr:row>51</xdr:row>
          <xdr:rowOff>12700</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600-00002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190500</xdr:rowOff>
        </xdr:from>
        <xdr:to>
          <xdr:col>1</xdr:col>
          <xdr:colOff>0</xdr:colOff>
          <xdr:row>52</xdr:row>
          <xdr:rowOff>0</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600-00002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203200</xdr:rowOff>
        </xdr:from>
        <xdr:to>
          <xdr:col>1</xdr:col>
          <xdr:colOff>0</xdr:colOff>
          <xdr:row>53</xdr:row>
          <xdr:rowOff>12700</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0600-00002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12700</xdr:rowOff>
        </xdr:from>
        <xdr:to>
          <xdr:col>1</xdr:col>
          <xdr:colOff>0</xdr:colOff>
          <xdr:row>55</xdr:row>
          <xdr:rowOff>12700</xdr:rowOff>
        </xdr:to>
        <xdr:sp macro="" textlink="">
          <xdr:nvSpPr>
            <xdr:cNvPr id="17445" name="Check Box 37" hidden="1">
              <a:extLst>
                <a:ext uri="{63B3BB69-23CF-44E3-9099-C40C66FF867C}">
                  <a14:compatExt spid="_x0000_s17445"/>
                </a:ext>
                <a:ext uri="{FF2B5EF4-FFF2-40B4-BE49-F238E27FC236}">
                  <a16:creationId xmlns:a16="http://schemas.microsoft.com/office/drawing/2014/main" id="{00000000-0008-0000-0600-00002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190500</xdr:rowOff>
        </xdr:from>
        <xdr:to>
          <xdr:col>0</xdr:col>
          <xdr:colOff>228600</xdr:colOff>
          <xdr:row>56</xdr:row>
          <xdr:rowOff>12700</xdr:rowOff>
        </xdr:to>
        <xdr:sp macro="" textlink="">
          <xdr:nvSpPr>
            <xdr:cNvPr id="17446" name="Check Box 38" hidden="1">
              <a:extLst>
                <a:ext uri="{63B3BB69-23CF-44E3-9099-C40C66FF867C}">
                  <a14:compatExt spid="_x0000_s17446"/>
                </a:ext>
                <a:ext uri="{FF2B5EF4-FFF2-40B4-BE49-F238E27FC236}">
                  <a16:creationId xmlns:a16="http://schemas.microsoft.com/office/drawing/2014/main" id="{00000000-0008-0000-0600-00002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56</xdr:row>
          <xdr:rowOff>12700</xdr:rowOff>
        </xdr:from>
        <xdr:to>
          <xdr:col>0</xdr:col>
          <xdr:colOff>228600</xdr:colOff>
          <xdr:row>57</xdr:row>
          <xdr:rowOff>12700</xdr:rowOff>
        </xdr:to>
        <xdr:sp macro="" textlink="">
          <xdr:nvSpPr>
            <xdr:cNvPr id="17447" name="Check Box 39" hidden="1">
              <a:extLst>
                <a:ext uri="{63B3BB69-23CF-44E3-9099-C40C66FF867C}">
                  <a14:compatExt spid="_x0000_s17447"/>
                </a:ext>
                <a:ext uri="{FF2B5EF4-FFF2-40B4-BE49-F238E27FC236}">
                  <a16:creationId xmlns:a16="http://schemas.microsoft.com/office/drawing/2014/main" id="{00000000-0008-0000-0600-00002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57</xdr:row>
          <xdr:rowOff>12700</xdr:rowOff>
        </xdr:from>
        <xdr:to>
          <xdr:col>1</xdr:col>
          <xdr:colOff>12700</xdr:colOff>
          <xdr:row>58</xdr:row>
          <xdr:rowOff>0</xdr:rowOff>
        </xdr:to>
        <xdr:sp macro="" textlink="">
          <xdr:nvSpPr>
            <xdr:cNvPr id="17448" name="Check Box 40" hidden="1">
              <a:extLst>
                <a:ext uri="{63B3BB69-23CF-44E3-9099-C40C66FF867C}">
                  <a14:compatExt spid="_x0000_s17448"/>
                </a:ext>
                <a:ext uri="{FF2B5EF4-FFF2-40B4-BE49-F238E27FC236}">
                  <a16:creationId xmlns:a16="http://schemas.microsoft.com/office/drawing/2014/main" id="{00000000-0008-0000-0600-00002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279400</xdr:colOff>
          <xdr:row>40</xdr:row>
          <xdr:rowOff>0</xdr:rowOff>
        </xdr:from>
        <xdr:to>
          <xdr:col>2</xdr:col>
          <xdr:colOff>571500</xdr:colOff>
          <xdr:row>40</xdr:row>
          <xdr:rowOff>152400</xdr:rowOff>
        </xdr:to>
        <xdr:sp macro="" textlink="">
          <xdr:nvSpPr>
            <xdr:cNvPr id="17449" name="Check Box 41" hidden="1">
              <a:extLst>
                <a:ext uri="{63B3BB69-23CF-44E3-9099-C40C66FF867C}">
                  <a14:compatExt spid="_x0000_s17449"/>
                </a:ext>
                <a:ext uri="{FF2B5EF4-FFF2-40B4-BE49-F238E27FC236}">
                  <a16:creationId xmlns:a16="http://schemas.microsoft.com/office/drawing/2014/main" id="{00000000-0008-0000-0600-00002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0</xdr:rowOff>
        </xdr:from>
        <xdr:to>
          <xdr:col>1</xdr:col>
          <xdr:colOff>76200</xdr:colOff>
          <xdr:row>54</xdr:row>
          <xdr:rowOff>25400</xdr:rowOff>
        </xdr:to>
        <xdr:sp macro="" textlink="">
          <xdr:nvSpPr>
            <xdr:cNvPr id="17450" name="Check Box 42" hidden="1">
              <a:extLst>
                <a:ext uri="{63B3BB69-23CF-44E3-9099-C40C66FF867C}">
                  <a14:compatExt spid="_x0000_s17450"/>
                </a:ext>
                <a:ext uri="{FF2B5EF4-FFF2-40B4-BE49-F238E27FC236}">
                  <a16:creationId xmlns:a16="http://schemas.microsoft.com/office/drawing/2014/main" id="{00000000-0008-0000-0600-00002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101600</xdr:colOff>
          <xdr:row>7</xdr:row>
          <xdr:rowOff>0</xdr:rowOff>
        </xdr:from>
        <xdr:to>
          <xdr:col>1</xdr:col>
          <xdr:colOff>406400</xdr:colOff>
          <xdr:row>8</xdr:row>
          <xdr:rowOff>50800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38</xdr:row>
          <xdr:rowOff>165100</xdr:rowOff>
        </xdr:from>
        <xdr:to>
          <xdr:col>0</xdr:col>
          <xdr:colOff>342900</xdr:colOff>
          <xdr:row>39</xdr:row>
          <xdr:rowOff>215900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8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39</xdr:row>
          <xdr:rowOff>215900</xdr:rowOff>
        </xdr:from>
        <xdr:to>
          <xdr:col>1</xdr:col>
          <xdr:colOff>0</xdr:colOff>
          <xdr:row>41</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8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41</xdr:row>
          <xdr:rowOff>0</xdr:rowOff>
        </xdr:from>
        <xdr:to>
          <xdr:col>1</xdr:col>
          <xdr:colOff>0</xdr:colOff>
          <xdr:row>42</xdr:row>
          <xdr:rowOff>12700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8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131</xdr:row>
          <xdr:rowOff>152400</xdr:rowOff>
        </xdr:from>
        <xdr:to>
          <xdr:col>1</xdr:col>
          <xdr:colOff>0</xdr:colOff>
          <xdr:row>132</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8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134</xdr:row>
          <xdr:rowOff>0</xdr:rowOff>
        </xdr:from>
        <xdr:to>
          <xdr:col>0</xdr:col>
          <xdr:colOff>342900</xdr:colOff>
          <xdr:row>134</xdr:row>
          <xdr:rowOff>203200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8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133</xdr:row>
          <xdr:rowOff>12700</xdr:rowOff>
        </xdr:from>
        <xdr:to>
          <xdr:col>1</xdr:col>
          <xdr:colOff>0</xdr:colOff>
          <xdr:row>134</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8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135</xdr:row>
          <xdr:rowOff>12700</xdr:rowOff>
        </xdr:from>
        <xdr:to>
          <xdr:col>1</xdr:col>
          <xdr:colOff>12700</xdr:colOff>
          <xdr:row>136</xdr:row>
          <xdr:rowOff>12700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8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136</xdr:row>
          <xdr:rowOff>12700</xdr:rowOff>
        </xdr:from>
        <xdr:to>
          <xdr:col>1</xdr:col>
          <xdr:colOff>0</xdr:colOff>
          <xdr:row>137</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8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143</xdr:row>
          <xdr:rowOff>12700</xdr:rowOff>
        </xdr:from>
        <xdr:to>
          <xdr:col>0</xdr:col>
          <xdr:colOff>330200</xdr:colOff>
          <xdr:row>144</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8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144</xdr:row>
          <xdr:rowOff>12700</xdr:rowOff>
        </xdr:from>
        <xdr:to>
          <xdr:col>0</xdr:col>
          <xdr:colOff>330200</xdr:colOff>
          <xdr:row>145</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8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145</xdr:row>
          <xdr:rowOff>12700</xdr:rowOff>
        </xdr:from>
        <xdr:to>
          <xdr:col>0</xdr:col>
          <xdr:colOff>330200</xdr:colOff>
          <xdr:row>146</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8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146</xdr:row>
          <xdr:rowOff>12700</xdr:rowOff>
        </xdr:from>
        <xdr:to>
          <xdr:col>0</xdr:col>
          <xdr:colOff>330200</xdr:colOff>
          <xdr:row>147</xdr:row>
          <xdr:rowOff>12700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8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147</xdr:row>
          <xdr:rowOff>12700</xdr:rowOff>
        </xdr:from>
        <xdr:to>
          <xdr:col>0</xdr:col>
          <xdr:colOff>330200</xdr:colOff>
          <xdr:row>148</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8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148</xdr:row>
          <xdr:rowOff>0</xdr:rowOff>
        </xdr:from>
        <xdr:to>
          <xdr:col>0</xdr:col>
          <xdr:colOff>330200</xdr:colOff>
          <xdr:row>149</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8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149</xdr:row>
          <xdr:rowOff>12700</xdr:rowOff>
        </xdr:from>
        <xdr:to>
          <xdr:col>0</xdr:col>
          <xdr:colOff>330200</xdr:colOff>
          <xdr:row>150</xdr:row>
          <xdr:rowOff>12700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8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156</xdr:row>
          <xdr:rowOff>0</xdr:rowOff>
        </xdr:from>
        <xdr:to>
          <xdr:col>1</xdr:col>
          <xdr:colOff>584200</xdr:colOff>
          <xdr:row>157</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8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177</xdr:row>
          <xdr:rowOff>139700</xdr:rowOff>
        </xdr:from>
        <xdr:to>
          <xdr:col>1</xdr:col>
          <xdr:colOff>0</xdr:colOff>
          <xdr:row>179</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8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179</xdr:row>
          <xdr:rowOff>0</xdr:rowOff>
        </xdr:from>
        <xdr:to>
          <xdr:col>1</xdr:col>
          <xdr:colOff>0</xdr:colOff>
          <xdr:row>180</xdr:row>
          <xdr:rowOff>12700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8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180</xdr:row>
          <xdr:rowOff>12700</xdr:rowOff>
        </xdr:from>
        <xdr:to>
          <xdr:col>1</xdr:col>
          <xdr:colOff>0</xdr:colOff>
          <xdr:row>181</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8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180</xdr:row>
          <xdr:rowOff>215900</xdr:rowOff>
        </xdr:from>
        <xdr:to>
          <xdr:col>0</xdr:col>
          <xdr:colOff>342900</xdr:colOff>
          <xdr:row>182</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8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182</xdr:row>
          <xdr:rowOff>0</xdr:rowOff>
        </xdr:from>
        <xdr:to>
          <xdr:col>1</xdr:col>
          <xdr:colOff>12700</xdr:colOff>
          <xdr:row>183</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8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183</xdr:row>
          <xdr:rowOff>12700</xdr:rowOff>
        </xdr:from>
        <xdr:to>
          <xdr:col>0</xdr:col>
          <xdr:colOff>342900</xdr:colOff>
          <xdr:row>184</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8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184</xdr:row>
          <xdr:rowOff>12700</xdr:rowOff>
        </xdr:from>
        <xdr:to>
          <xdr:col>1</xdr:col>
          <xdr:colOff>0</xdr:colOff>
          <xdr:row>185</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8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185</xdr:row>
          <xdr:rowOff>12700</xdr:rowOff>
        </xdr:from>
        <xdr:to>
          <xdr:col>1</xdr:col>
          <xdr:colOff>0</xdr:colOff>
          <xdr:row>186</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8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189</xdr:row>
          <xdr:rowOff>139700</xdr:rowOff>
        </xdr:from>
        <xdr:to>
          <xdr:col>1</xdr:col>
          <xdr:colOff>0</xdr:colOff>
          <xdr:row>191</xdr:row>
          <xdr:rowOff>12700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8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190</xdr:row>
          <xdr:rowOff>203200</xdr:rowOff>
        </xdr:from>
        <xdr:to>
          <xdr:col>1</xdr:col>
          <xdr:colOff>0</xdr:colOff>
          <xdr:row>192</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8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192</xdr:row>
          <xdr:rowOff>12700</xdr:rowOff>
        </xdr:from>
        <xdr:to>
          <xdr:col>1</xdr:col>
          <xdr:colOff>12700</xdr:colOff>
          <xdr:row>193</xdr:row>
          <xdr:rowOff>12700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8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193</xdr:row>
          <xdr:rowOff>0</xdr:rowOff>
        </xdr:from>
        <xdr:to>
          <xdr:col>1</xdr:col>
          <xdr:colOff>12700</xdr:colOff>
          <xdr:row>194</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800-00002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194</xdr:row>
          <xdr:rowOff>0</xdr:rowOff>
        </xdr:from>
        <xdr:to>
          <xdr:col>1</xdr:col>
          <xdr:colOff>0</xdr:colOff>
          <xdr:row>195</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8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194</xdr:row>
          <xdr:rowOff>215900</xdr:rowOff>
        </xdr:from>
        <xdr:to>
          <xdr:col>0</xdr:col>
          <xdr:colOff>342900</xdr:colOff>
          <xdr:row>196</xdr:row>
          <xdr:rowOff>12700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800-00002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195</xdr:row>
          <xdr:rowOff>215900</xdr:rowOff>
        </xdr:from>
        <xdr:to>
          <xdr:col>1</xdr:col>
          <xdr:colOff>0</xdr:colOff>
          <xdr:row>197</xdr:row>
          <xdr:rowOff>12700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8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196</xdr:row>
          <xdr:rowOff>215900</xdr:rowOff>
        </xdr:from>
        <xdr:to>
          <xdr:col>1</xdr:col>
          <xdr:colOff>0</xdr:colOff>
          <xdr:row>198</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8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469900</xdr:colOff>
          <xdr:row>202</xdr:row>
          <xdr:rowOff>12700</xdr:rowOff>
        </xdr:from>
        <xdr:to>
          <xdr:col>3</xdr:col>
          <xdr:colOff>1028700</xdr:colOff>
          <xdr:row>202</xdr:row>
          <xdr:rowOff>190500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8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469900</xdr:colOff>
          <xdr:row>203</xdr:row>
          <xdr:rowOff>12700</xdr:rowOff>
        </xdr:from>
        <xdr:to>
          <xdr:col>3</xdr:col>
          <xdr:colOff>1079500</xdr:colOff>
          <xdr:row>204</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8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469900</xdr:colOff>
          <xdr:row>204</xdr:row>
          <xdr:rowOff>12700</xdr:rowOff>
        </xdr:from>
        <xdr:to>
          <xdr:col>3</xdr:col>
          <xdr:colOff>1117600</xdr:colOff>
          <xdr:row>204</xdr:row>
          <xdr:rowOff>190500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8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469900</xdr:colOff>
          <xdr:row>205</xdr:row>
          <xdr:rowOff>12700</xdr:rowOff>
        </xdr:from>
        <xdr:to>
          <xdr:col>3</xdr:col>
          <xdr:colOff>1092200</xdr:colOff>
          <xdr:row>205</xdr:row>
          <xdr:rowOff>177800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8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469900</xdr:colOff>
          <xdr:row>206</xdr:row>
          <xdr:rowOff>12700</xdr:rowOff>
        </xdr:from>
        <xdr:to>
          <xdr:col>3</xdr:col>
          <xdr:colOff>1054100</xdr:colOff>
          <xdr:row>206</xdr:row>
          <xdr:rowOff>177800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800-00002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469900</xdr:colOff>
          <xdr:row>207</xdr:row>
          <xdr:rowOff>0</xdr:rowOff>
        </xdr:from>
        <xdr:to>
          <xdr:col>3</xdr:col>
          <xdr:colOff>1092200</xdr:colOff>
          <xdr:row>208</xdr:row>
          <xdr:rowOff>12700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800-00002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469900</xdr:colOff>
          <xdr:row>208</xdr:row>
          <xdr:rowOff>12700</xdr:rowOff>
        </xdr:from>
        <xdr:to>
          <xdr:col>3</xdr:col>
          <xdr:colOff>1117600</xdr:colOff>
          <xdr:row>208</xdr:row>
          <xdr:rowOff>190500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800-00003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469900</xdr:colOff>
          <xdr:row>209</xdr:row>
          <xdr:rowOff>12700</xdr:rowOff>
        </xdr:from>
        <xdr:to>
          <xdr:col>3</xdr:col>
          <xdr:colOff>1092200</xdr:colOff>
          <xdr:row>209</xdr:row>
          <xdr:rowOff>177800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8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469900</xdr:colOff>
          <xdr:row>210</xdr:row>
          <xdr:rowOff>12700</xdr:rowOff>
        </xdr:from>
        <xdr:to>
          <xdr:col>3</xdr:col>
          <xdr:colOff>1079500</xdr:colOff>
          <xdr:row>211</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800-00003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469900</xdr:colOff>
          <xdr:row>211</xdr:row>
          <xdr:rowOff>12700</xdr:rowOff>
        </xdr:from>
        <xdr:to>
          <xdr:col>3</xdr:col>
          <xdr:colOff>1104900</xdr:colOff>
          <xdr:row>211</xdr:row>
          <xdr:rowOff>177800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8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469900</xdr:colOff>
          <xdr:row>212</xdr:row>
          <xdr:rowOff>12700</xdr:rowOff>
        </xdr:from>
        <xdr:to>
          <xdr:col>3</xdr:col>
          <xdr:colOff>1117600</xdr:colOff>
          <xdr:row>212</xdr:row>
          <xdr:rowOff>177800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8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202</xdr:row>
          <xdr:rowOff>12700</xdr:rowOff>
        </xdr:from>
        <xdr:to>
          <xdr:col>5</xdr:col>
          <xdr:colOff>12700</xdr:colOff>
          <xdr:row>202</xdr:row>
          <xdr:rowOff>190500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800-00003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203</xdr:row>
          <xdr:rowOff>12700</xdr:rowOff>
        </xdr:from>
        <xdr:to>
          <xdr:col>5</xdr:col>
          <xdr:colOff>0</xdr:colOff>
          <xdr:row>203</xdr:row>
          <xdr:rowOff>177800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800-00003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204</xdr:row>
          <xdr:rowOff>0</xdr:rowOff>
        </xdr:from>
        <xdr:to>
          <xdr:col>4</xdr:col>
          <xdr:colOff>1104900</xdr:colOff>
          <xdr:row>204</xdr:row>
          <xdr:rowOff>190500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800-00003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205</xdr:row>
          <xdr:rowOff>12700</xdr:rowOff>
        </xdr:from>
        <xdr:to>
          <xdr:col>5</xdr:col>
          <xdr:colOff>0</xdr:colOff>
          <xdr:row>206</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800-00003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206</xdr:row>
          <xdr:rowOff>12700</xdr:rowOff>
        </xdr:from>
        <xdr:to>
          <xdr:col>4</xdr:col>
          <xdr:colOff>1092200</xdr:colOff>
          <xdr:row>206</xdr:row>
          <xdr:rowOff>190500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800-00003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208</xdr:row>
          <xdr:rowOff>12700</xdr:rowOff>
        </xdr:from>
        <xdr:to>
          <xdr:col>4</xdr:col>
          <xdr:colOff>1104900</xdr:colOff>
          <xdr:row>208</xdr:row>
          <xdr:rowOff>190500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800-00003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209</xdr:row>
          <xdr:rowOff>12700</xdr:rowOff>
        </xdr:from>
        <xdr:to>
          <xdr:col>4</xdr:col>
          <xdr:colOff>1117600</xdr:colOff>
          <xdr:row>209</xdr:row>
          <xdr:rowOff>177800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800-00003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210</xdr:row>
          <xdr:rowOff>12700</xdr:rowOff>
        </xdr:from>
        <xdr:to>
          <xdr:col>4</xdr:col>
          <xdr:colOff>1092200</xdr:colOff>
          <xdr:row>210</xdr:row>
          <xdr:rowOff>190500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800-00003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211</xdr:row>
          <xdr:rowOff>12700</xdr:rowOff>
        </xdr:from>
        <xdr:to>
          <xdr:col>4</xdr:col>
          <xdr:colOff>1117600</xdr:colOff>
          <xdr:row>211</xdr:row>
          <xdr:rowOff>190500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800-00003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212</xdr:row>
          <xdr:rowOff>12700</xdr:rowOff>
        </xdr:from>
        <xdr:to>
          <xdr:col>4</xdr:col>
          <xdr:colOff>1104900</xdr:colOff>
          <xdr:row>212</xdr:row>
          <xdr:rowOff>177800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800-00003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119</xdr:row>
          <xdr:rowOff>165100</xdr:rowOff>
        </xdr:from>
        <xdr:to>
          <xdr:col>0</xdr:col>
          <xdr:colOff>342900</xdr:colOff>
          <xdr:row>121</xdr:row>
          <xdr:rowOff>25400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8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120</xdr:row>
          <xdr:rowOff>203200</xdr:rowOff>
        </xdr:from>
        <xdr:to>
          <xdr:col>1</xdr:col>
          <xdr:colOff>12700</xdr:colOff>
          <xdr:row>122</xdr:row>
          <xdr:rowOff>25400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8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121</xdr:row>
          <xdr:rowOff>203200</xdr:rowOff>
        </xdr:from>
        <xdr:to>
          <xdr:col>0</xdr:col>
          <xdr:colOff>317500</xdr:colOff>
          <xdr:row>123</xdr:row>
          <xdr:rowOff>25400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8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 Type="http://schemas.openxmlformats.org/officeDocument/2006/relationships/printerSettings" Target="../printerSettings/printerSettings2.bin"/><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2" Type="http://schemas.openxmlformats.org/officeDocument/2006/relationships/hyperlink" Target="http://www.sample.edu/cds" TargetMode="External"/><Relationship Id="rId16" Type="http://schemas.openxmlformats.org/officeDocument/2006/relationships/ctrlProp" Target="../ctrlProps/ctrlProp11.xml"/><Relationship Id="rId20" Type="http://schemas.openxmlformats.org/officeDocument/2006/relationships/ctrlProp" Target="../ctrlProps/ctrlProp15.xml"/><Relationship Id="rId29" Type="http://schemas.openxmlformats.org/officeDocument/2006/relationships/ctrlProp" Target="../ctrlProps/ctrlProp24.xml"/><Relationship Id="rId1" Type="http://schemas.openxmlformats.org/officeDocument/2006/relationships/hyperlink" Target="mailto:admissions@awesome.edu" TargetMode="External"/><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32" Type="http://schemas.openxmlformats.org/officeDocument/2006/relationships/ctrlProp" Target="../ctrlProps/ctrlProp27.xml"/><Relationship Id="rId5" Type="http://schemas.openxmlformats.org/officeDocument/2006/relationships/vmlDrawing" Target="../drawings/vmlDrawing1.vml"/><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10" Type="http://schemas.openxmlformats.org/officeDocument/2006/relationships/ctrlProp" Target="../ctrlProps/ctrlProp5.xml"/><Relationship Id="rId19" Type="http://schemas.openxmlformats.org/officeDocument/2006/relationships/ctrlProp" Target="../ctrlProps/ctrlProp14.xml"/><Relationship Id="rId31" Type="http://schemas.openxmlformats.org/officeDocument/2006/relationships/ctrlProp" Target="../ctrlProps/ctrlProp26.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41.xml"/><Relationship Id="rId21" Type="http://schemas.openxmlformats.org/officeDocument/2006/relationships/ctrlProp" Target="../ctrlProps/ctrlProp45.xml"/><Relationship Id="rId42" Type="http://schemas.openxmlformats.org/officeDocument/2006/relationships/ctrlProp" Target="../ctrlProps/ctrlProp66.xml"/><Relationship Id="rId63" Type="http://schemas.openxmlformats.org/officeDocument/2006/relationships/ctrlProp" Target="../ctrlProps/ctrlProp87.xml"/><Relationship Id="rId84" Type="http://schemas.openxmlformats.org/officeDocument/2006/relationships/ctrlProp" Target="../ctrlProps/ctrlProp108.xml"/><Relationship Id="rId138" Type="http://schemas.openxmlformats.org/officeDocument/2006/relationships/ctrlProp" Target="../ctrlProps/ctrlProp162.xml"/><Relationship Id="rId107" Type="http://schemas.openxmlformats.org/officeDocument/2006/relationships/ctrlProp" Target="../ctrlProps/ctrlProp131.xml"/><Relationship Id="rId11" Type="http://schemas.openxmlformats.org/officeDocument/2006/relationships/ctrlProp" Target="../ctrlProps/ctrlProp35.xml"/><Relationship Id="rId32" Type="http://schemas.openxmlformats.org/officeDocument/2006/relationships/ctrlProp" Target="../ctrlProps/ctrlProp56.xml"/><Relationship Id="rId53" Type="http://schemas.openxmlformats.org/officeDocument/2006/relationships/ctrlProp" Target="../ctrlProps/ctrlProp77.xml"/><Relationship Id="rId74" Type="http://schemas.openxmlformats.org/officeDocument/2006/relationships/ctrlProp" Target="../ctrlProps/ctrlProp98.xml"/><Relationship Id="rId128" Type="http://schemas.openxmlformats.org/officeDocument/2006/relationships/ctrlProp" Target="../ctrlProps/ctrlProp152.xml"/><Relationship Id="rId5" Type="http://schemas.openxmlformats.org/officeDocument/2006/relationships/ctrlProp" Target="../ctrlProps/ctrlProp29.xml"/><Relationship Id="rId90" Type="http://schemas.openxmlformats.org/officeDocument/2006/relationships/ctrlProp" Target="../ctrlProps/ctrlProp114.xml"/><Relationship Id="rId95" Type="http://schemas.openxmlformats.org/officeDocument/2006/relationships/ctrlProp" Target="../ctrlProps/ctrlProp119.xml"/><Relationship Id="rId22" Type="http://schemas.openxmlformats.org/officeDocument/2006/relationships/ctrlProp" Target="../ctrlProps/ctrlProp46.xml"/><Relationship Id="rId27" Type="http://schemas.openxmlformats.org/officeDocument/2006/relationships/ctrlProp" Target="../ctrlProps/ctrlProp51.xml"/><Relationship Id="rId43" Type="http://schemas.openxmlformats.org/officeDocument/2006/relationships/ctrlProp" Target="../ctrlProps/ctrlProp67.xml"/><Relationship Id="rId48" Type="http://schemas.openxmlformats.org/officeDocument/2006/relationships/ctrlProp" Target="../ctrlProps/ctrlProp72.xml"/><Relationship Id="rId64" Type="http://schemas.openxmlformats.org/officeDocument/2006/relationships/ctrlProp" Target="../ctrlProps/ctrlProp88.xml"/><Relationship Id="rId69" Type="http://schemas.openxmlformats.org/officeDocument/2006/relationships/ctrlProp" Target="../ctrlProps/ctrlProp93.xml"/><Relationship Id="rId113" Type="http://schemas.openxmlformats.org/officeDocument/2006/relationships/ctrlProp" Target="../ctrlProps/ctrlProp137.xml"/><Relationship Id="rId118" Type="http://schemas.openxmlformats.org/officeDocument/2006/relationships/ctrlProp" Target="../ctrlProps/ctrlProp142.xml"/><Relationship Id="rId134" Type="http://schemas.openxmlformats.org/officeDocument/2006/relationships/ctrlProp" Target="../ctrlProps/ctrlProp158.xml"/><Relationship Id="rId139" Type="http://schemas.openxmlformats.org/officeDocument/2006/relationships/ctrlProp" Target="../ctrlProps/ctrlProp163.xml"/><Relationship Id="rId80" Type="http://schemas.openxmlformats.org/officeDocument/2006/relationships/ctrlProp" Target="../ctrlProps/ctrlProp104.xml"/><Relationship Id="rId85" Type="http://schemas.openxmlformats.org/officeDocument/2006/relationships/ctrlProp" Target="../ctrlProps/ctrlProp109.xml"/><Relationship Id="rId12" Type="http://schemas.openxmlformats.org/officeDocument/2006/relationships/ctrlProp" Target="../ctrlProps/ctrlProp36.xml"/><Relationship Id="rId17" Type="http://schemas.openxmlformats.org/officeDocument/2006/relationships/ctrlProp" Target="../ctrlProps/ctrlProp41.xml"/><Relationship Id="rId33" Type="http://schemas.openxmlformats.org/officeDocument/2006/relationships/ctrlProp" Target="../ctrlProps/ctrlProp57.xml"/><Relationship Id="rId38" Type="http://schemas.openxmlformats.org/officeDocument/2006/relationships/ctrlProp" Target="../ctrlProps/ctrlProp62.xml"/><Relationship Id="rId59" Type="http://schemas.openxmlformats.org/officeDocument/2006/relationships/ctrlProp" Target="../ctrlProps/ctrlProp83.xml"/><Relationship Id="rId103" Type="http://schemas.openxmlformats.org/officeDocument/2006/relationships/ctrlProp" Target="../ctrlProps/ctrlProp127.xml"/><Relationship Id="rId108" Type="http://schemas.openxmlformats.org/officeDocument/2006/relationships/ctrlProp" Target="../ctrlProps/ctrlProp132.xml"/><Relationship Id="rId124" Type="http://schemas.openxmlformats.org/officeDocument/2006/relationships/ctrlProp" Target="../ctrlProps/ctrlProp148.xml"/><Relationship Id="rId129" Type="http://schemas.openxmlformats.org/officeDocument/2006/relationships/ctrlProp" Target="../ctrlProps/ctrlProp153.xml"/><Relationship Id="rId54" Type="http://schemas.openxmlformats.org/officeDocument/2006/relationships/ctrlProp" Target="../ctrlProps/ctrlProp78.xml"/><Relationship Id="rId70" Type="http://schemas.openxmlformats.org/officeDocument/2006/relationships/ctrlProp" Target="../ctrlProps/ctrlProp94.xml"/><Relationship Id="rId75" Type="http://schemas.openxmlformats.org/officeDocument/2006/relationships/ctrlProp" Target="../ctrlProps/ctrlProp99.xml"/><Relationship Id="rId91" Type="http://schemas.openxmlformats.org/officeDocument/2006/relationships/ctrlProp" Target="../ctrlProps/ctrlProp115.xml"/><Relationship Id="rId96" Type="http://schemas.openxmlformats.org/officeDocument/2006/relationships/ctrlProp" Target="../ctrlProps/ctrlProp120.xml"/><Relationship Id="rId140" Type="http://schemas.openxmlformats.org/officeDocument/2006/relationships/ctrlProp" Target="../ctrlProps/ctrlProp164.xml"/><Relationship Id="rId145" Type="http://schemas.openxmlformats.org/officeDocument/2006/relationships/ctrlProp" Target="../ctrlProps/ctrlProp169.xml"/><Relationship Id="rId1" Type="http://schemas.openxmlformats.org/officeDocument/2006/relationships/printerSettings" Target="../printerSettings/printerSettings4.bin"/><Relationship Id="rId6" Type="http://schemas.openxmlformats.org/officeDocument/2006/relationships/ctrlProp" Target="../ctrlProps/ctrlProp30.xml"/><Relationship Id="rId23" Type="http://schemas.openxmlformats.org/officeDocument/2006/relationships/ctrlProp" Target="../ctrlProps/ctrlProp47.xml"/><Relationship Id="rId28" Type="http://schemas.openxmlformats.org/officeDocument/2006/relationships/ctrlProp" Target="../ctrlProps/ctrlProp52.xml"/><Relationship Id="rId49" Type="http://schemas.openxmlformats.org/officeDocument/2006/relationships/ctrlProp" Target="../ctrlProps/ctrlProp73.xml"/><Relationship Id="rId114" Type="http://schemas.openxmlformats.org/officeDocument/2006/relationships/ctrlProp" Target="../ctrlProps/ctrlProp138.xml"/><Relationship Id="rId119" Type="http://schemas.openxmlformats.org/officeDocument/2006/relationships/ctrlProp" Target="../ctrlProps/ctrlProp143.xml"/><Relationship Id="rId44" Type="http://schemas.openxmlformats.org/officeDocument/2006/relationships/ctrlProp" Target="../ctrlProps/ctrlProp68.xml"/><Relationship Id="rId60" Type="http://schemas.openxmlformats.org/officeDocument/2006/relationships/ctrlProp" Target="../ctrlProps/ctrlProp84.xml"/><Relationship Id="rId65" Type="http://schemas.openxmlformats.org/officeDocument/2006/relationships/ctrlProp" Target="../ctrlProps/ctrlProp89.xml"/><Relationship Id="rId81" Type="http://schemas.openxmlformats.org/officeDocument/2006/relationships/ctrlProp" Target="../ctrlProps/ctrlProp105.xml"/><Relationship Id="rId86" Type="http://schemas.openxmlformats.org/officeDocument/2006/relationships/ctrlProp" Target="../ctrlProps/ctrlProp110.xml"/><Relationship Id="rId130" Type="http://schemas.openxmlformats.org/officeDocument/2006/relationships/ctrlProp" Target="../ctrlProps/ctrlProp154.xml"/><Relationship Id="rId135" Type="http://schemas.openxmlformats.org/officeDocument/2006/relationships/ctrlProp" Target="../ctrlProps/ctrlProp159.xml"/><Relationship Id="rId13" Type="http://schemas.openxmlformats.org/officeDocument/2006/relationships/ctrlProp" Target="../ctrlProps/ctrlProp37.xml"/><Relationship Id="rId18" Type="http://schemas.openxmlformats.org/officeDocument/2006/relationships/ctrlProp" Target="../ctrlProps/ctrlProp42.xml"/><Relationship Id="rId39" Type="http://schemas.openxmlformats.org/officeDocument/2006/relationships/ctrlProp" Target="../ctrlProps/ctrlProp63.xml"/><Relationship Id="rId109" Type="http://schemas.openxmlformats.org/officeDocument/2006/relationships/ctrlProp" Target="../ctrlProps/ctrlProp133.xml"/><Relationship Id="rId34" Type="http://schemas.openxmlformats.org/officeDocument/2006/relationships/ctrlProp" Target="../ctrlProps/ctrlProp58.xml"/><Relationship Id="rId50" Type="http://schemas.openxmlformats.org/officeDocument/2006/relationships/ctrlProp" Target="../ctrlProps/ctrlProp74.xml"/><Relationship Id="rId55" Type="http://schemas.openxmlformats.org/officeDocument/2006/relationships/ctrlProp" Target="../ctrlProps/ctrlProp79.xml"/><Relationship Id="rId76" Type="http://schemas.openxmlformats.org/officeDocument/2006/relationships/ctrlProp" Target="../ctrlProps/ctrlProp100.xml"/><Relationship Id="rId97" Type="http://schemas.openxmlformats.org/officeDocument/2006/relationships/ctrlProp" Target="../ctrlProps/ctrlProp121.xml"/><Relationship Id="rId104" Type="http://schemas.openxmlformats.org/officeDocument/2006/relationships/ctrlProp" Target="../ctrlProps/ctrlProp128.xml"/><Relationship Id="rId120" Type="http://schemas.openxmlformats.org/officeDocument/2006/relationships/ctrlProp" Target="../ctrlProps/ctrlProp144.xml"/><Relationship Id="rId125" Type="http://schemas.openxmlformats.org/officeDocument/2006/relationships/ctrlProp" Target="../ctrlProps/ctrlProp149.xml"/><Relationship Id="rId141" Type="http://schemas.openxmlformats.org/officeDocument/2006/relationships/ctrlProp" Target="../ctrlProps/ctrlProp165.xml"/><Relationship Id="rId146" Type="http://schemas.openxmlformats.org/officeDocument/2006/relationships/ctrlProp" Target="../ctrlProps/ctrlProp170.xml"/><Relationship Id="rId7" Type="http://schemas.openxmlformats.org/officeDocument/2006/relationships/ctrlProp" Target="../ctrlProps/ctrlProp31.xml"/><Relationship Id="rId71" Type="http://schemas.openxmlformats.org/officeDocument/2006/relationships/ctrlProp" Target="../ctrlProps/ctrlProp95.xml"/><Relationship Id="rId92" Type="http://schemas.openxmlformats.org/officeDocument/2006/relationships/ctrlProp" Target="../ctrlProps/ctrlProp116.xml"/><Relationship Id="rId2" Type="http://schemas.openxmlformats.org/officeDocument/2006/relationships/drawing" Target="../drawings/drawing2.xml"/><Relationship Id="rId29" Type="http://schemas.openxmlformats.org/officeDocument/2006/relationships/ctrlProp" Target="../ctrlProps/ctrlProp53.xml"/><Relationship Id="rId24" Type="http://schemas.openxmlformats.org/officeDocument/2006/relationships/ctrlProp" Target="../ctrlProps/ctrlProp48.xml"/><Relationship Id="rId40" Type="http://schemas.openxmlformats.org/officeDocument/2006/relationships/ctrlProp" Target="../ctrlProps/ctrlProp64.xml"/><Relationship Id="rId45" Type="http://schemas.openxmlformats.org/officeDocument/2006/relationships/ctrlProp" Target="../ctrlProps/ctrlProp69.xml"/><Relationship Id="rId66" Type="http://schemas.openxmlformats.org/officeDocument/2006/relationships/ctrlProp" Target="../ctrlProps/ctrlProp90.xml"/><Relationship Id="rId87" Type="http://schemas.openxmlformats.org/officeDocument/2006/relationships/ctrlProp" Target="../ctrlProps/ctrlProp111.xml"/><Relationship Id="rId110" Type="http://schemas.openxmlformats.org/officeDocument/2006/relationships/ctrlProp" Target="../ctrlProps/ctrlProp134.xml"/><Relationship Id="rId115" Type="http://schemas.openxmlformats.org/officeDocument/2006/relationships/ctrlProp" Target="../ctrlProps/ctrlProp139.xml"/><Relationship Id="rId131" Type="http://schemas.openxmlformats.org/officeDocument/2006/relationships/ctrlProp" Target="../ctrlProps/ctrlProp155.xml"/><Relationship Id="rId136" Type="http://schemas.openxmlformats.org/officeDocument/2006/relationships/ctrlProp" Target="../ctrlProps/ctrlProp160.xml"/><Relationship Id="rId61" Type="http://schemas.openxmlformats.org/officeDocument/2006/relationships/ctrlProp" Target="../ctrlProps/ctrlProp85.xml"/><Relationship Id="rId82" Type="http://schemas.openxmlformats.org/officeDocument/2006/relationships/ctrlProp" Target="../ctrlProps/ctrlProp106.xml"/><Relationship Id="rId19" Type="http://schemas.openxmlformats.org/officeDocument/2006/relationships/ctrlProp" Target="../ctrlProps/ctrlProp43.xml"/><Relationship Id="rId14" Type="http://schemas.openxmlformats.org/officeDocument/2006/relationships/ctrlProp" Target="../ctrlProps/ctrlProp38.xml"/><Relationship Id="rId30" Type="http://schemas.openxmlformats.org/officeDocument/2006/relationships/ctrlProp" Target="../ctrlProps/ctrlProp54.xml"/><Relationship Id="rId35" Type="http://schemas.openxmlformats.org/officeDocument/2006/relationships/ctrlProp" Target="../ctrlProps/ctrlProp59.xml"/><Relationship Id="rId56" Type="http://schemas.openxmlformats.org/officeDocument/2006/relationships/ctrlProp" Target="../ctrlProps/ctrlProp80.xml"/><Relationship Id="rId77" Type="http://schemas.openxmlformats.org/officeDocument/2006/relationships/ctrlProp" Target="../ctrlProps/ctrlProp101.xml"/><Relationship Id="rId100" Type="http://schemas.openxmlformats.org/officeDocument/2006/relationships/ctrlProp" Target="../ctrlProps/ctrlProp124.xml"/><Relationship Id="rId105" Type="http://schemas.openxmlformats.org/officeDocument/2006/relationships/ctrlProp" Target="../ctrlProps/ctrlProp129.xml"/><Relationship Id="rId126" Type="http://schemas.openxmlformats.org/officeDocument/2006/relationships/ctrlProp" Target="../ctrlProps/ctrlProp150.xml"/><Relationship Id="rId8" Type="http://schemas.openxmlformats.org/officeDocument/2006/relationships/ctrlProp" Target="../ctrlProps/ctrlProp32.xml"/><Relationship Id="rId51" Type="http://schemas.openxmlformats.org/officeDocument/2006/relationships/ctrlProp" Target="../ctrlProps/ctrlProp75.xml"/><Relationship Id="rId72" Type="http://schemas.openxmlformats.org/officeDocument/2006/relationships/ctrlProp" Target="../ctrlProps/ctrlProp96.xml"/><Relationship Id="rId93" Type="http://schemas.openxmlformats.org/officeDocument/2006/relationships/ctrlProp" Target="../ctrlProps/ctrlProp117.xml"/><Relationship Id="rId98" Type="http://schemas.openxmlformats.org/officeDocument/2006/relationships/ctrlProp" Target="../ctrlProps/ctrlProp122.xml"/><Relationship Id="rId121" Type="http://schemas.openxmlformats.org/officeDocument/2006/relationships/ctrlProp" Target="../ctrlProps/ctrlProp145.xml"/><Relationship Id="rId142" Type="http://schemas.openxmlformats.org/officeDocument/2006/relationships/ctrlProp" Target="../ctrlProps/ctrlProp166.xml"/><Relationship Id="rId3" Type="http://schemas.openxmlformats.org/officeDocument/2006/relationships/vmlDrawing" Target="../drawings/vmlDrawing2.vml"/><Relationship Id="rId25" Type="http://schemas.openxmlformats.org/officeDocument/2006/relationships/ctrlProp" Target="../ctrlProps/ctrlProp49.xml"/><Relationship Id="rId46" Type="http://schemas.openxmlformats.org/officeDocument/2006/relationships/ctrlProp" Target="../ctrlProps/ctrlProp70.xml"/><Relationship Id="rId67" Type="http://schemas.openxmlformats.org/officeDocument/2006/relationships/ctrlProp" Target="../ctrlProps/ctrlProp91.xml"/><Relationship Id="rId116" Type="http://schemas.openxmlformats.org/officeDocument/2006/relationships/ctrlProp" Target="../ctrlProps/ctrlProp140.xml"/><Relationship Id="rId137" Type="http://schemas.openxmlformats.org/officeDocument/2006/relationships/ctrlProp" Target="../ctrlProps/ctrlProp161.xml"/><Relationship Id="rId20" Type="http://schemas.openxmlformats.org/officeDocument/2006/relationships/ctrlProp" Target="../ctrlProps/ctrlProp44.xml"/><Relationship Id="rId41" Type="http://schemas.openxmlformats.org/officeDocument/2006/relationships/ctrlProp" Target="../ctrlProps/ctrlProp65.xml"/><Relationship Id="rId62" Type="http://schemas.openxmlformats.org/officeDocument/2006/relationships/ctrlProp" Target="../ctrlProps/ctrlProp86.xml"/><Relationship Id="rId83" Type="http://schemas.openxmlformats.org/officeDocument/2006/relationships/ctrlProp" Target="../ctrlProps/ctrlProp107.xml"/><Relationship Id="rId88" Type="http://schemas.openxmlformats.org/officeDocument/2006/relationships/ctrlProp" Target="../ctrlProps/ctrlProp112.xml"/><Relationship Id="rId111" Type="http://schemas.openxmlformats.org/officeDocument/2006/relationships/ctrlProp" Target="../ctrlProps/ctrlProp135.xml"/><Relationship Id="rId132" Type="http://schemas.openxmlformats.org/officeDocument/2006/relationships/ctrlProp" Target="../ctrlProps/ctrlProp156.xml"/><Relationship Id="rId15" Type="http://schemas.openxmlformats.org/officeDocument/2006/relationships/ctrlProp" Target="../ctrlProps/ctrlProp39.xml"/><Relationship Id="rId36" Type="http://schemas.openxmlformats.org/officeDocument/2006/relationships/ctrlProp" Target="../ctrlProps/ctrlProp60.xml"/><Relationship Id="rId57" Type="http://schemas.openxmlformats.org/officeDocument/2006/relationships/ctrlProp" Target="../ctrlProps/ctrlProp81.xml"/><Relationship Id="rId106" Type="http://schemas.openxmlformats.org/officeDocument/2006/relationships/ctrlProp" Target="../ctrlProps/ctrlProp130.xml"/><Relationship Id="rId127" Type="http://schemas.openxmlformats.org/officeDocument/2006/relationships/ctrlProp" Target="../ctrlProps/ctrlProp151.xml"/><Relationship Id="rId10" Type="http://schemas.openxmlformats.org/officeDocument/2006/relationships/ctrlProp" Target="../ctrlProps/ctrlProp34.xml"/><Relationship Id="rId31" Type="http://schemas.openxmlformats.org/officeDocument/2006/relationships/ctrlProp" Target="../ctrlProps/ctrlProp55.xml"/><Relationship Id="rId52" Type="http://schemas.openxmlformats.org/officeDocument/2006/relationships/ctrlProp" Target="../ctrlProps/ctrlProp76.xml"/><Relationship Id="rId73" Type="http://schemas.openxmlformats.org/officeDocument/2006/relationships/ctrlProp" Target="../ctrlProps/ctrlProp97.xml"/><Relationship Id="rId78" Type="http://schemas.openxmlformats.org/officeDocument/2006/relationships/ctrlProp" Target="../ctrlProps/ctrlProp102.xml"/><Relationship Id="rId94" Type="http://schemas.openxmlformats.org/officeDocument/2006/relationships/ctrlProp" Target="../ctrlProps/ctrlProp118.xml"/><Relationship Id="rId99" Type="http://schemas.openxmlformats.org/officeDocument/2006/relationships/ctrlProp" Target="../ctrlProps/ctrlProp123.xml"/><Relationship Id="rId101" Type="http://schemas.openxmlformats.org/officeDocument/2006/relationships/ctrlProp" Target="../ctrlProps/ctrlProp125.xml"/><Relationship Id="rId122" Type="http://schemas.openxmlformats.org/officeDocument/2006/relationships/ctrlProp" Target="../ctrlProps/ctrlProp146.xml"/><Relationship Id="rId143" Type="http://schemas.openxmlformats.org/officeDocument/2006/relationships/ctrlProp" Target="../ctrlProps/ctrlProp167.xml"/><Relationship Id="rId4" Type="http://schemas.openxmlformats.org/officeDocument/2006/relationships/ctrlProp" Target="../ctrlProps/ctrlProp28.xml"/><Relationship Id="rId9" Type="http://schemas.openxmlformats.org/officeDocument/2006/relationships/ctrlProp" Target="../ctrlProps/ctrlProp33.xml"/><Relationship Id="rId26" Type="http://schemas.openxmlformats.org/officeDocument/2006/relationships/ctrlProp" Target="../ctrlProps/ctrlProp50.xml"/><Relationship Id="rId47" Type="http://schemas.openxmlformats.org/officeDocument/2006/relationships/ctrlProp" Target="../ctrlProps/ctrlProp71.xml"/><Relationship Id="rId68" Type="http://schemas.openxmlformats.org/officeDocument/2006/relationships/ctrlProp" Target="../ctrlProps/ctrlProp92.xml"/><Relationship Id="rId89" Type="http://schemas.openxmlformats.org/officeDocument/2006/relationships/ctrlProp" Target="../ctrlProps/ctrlProp113.xml"/><Relationship Id="rId112" Type="http://schemas.openxmlformats.org/officeDocument/2006/relationships/ctrlProp" Target="../ctrlProps/ctrlProp136.xml"/><Relationship Id="rId133" Type="http://schemas.openxmlformats.org/officeDocument/2006/relationships/ctrlProp" Target="../ctrlProps/ctrlProp157.xml"/><Relationship Id="rId16" Type="http://schemas.openxmlformats.org/officeDocument/2006/relationships/ctrlProp" Target="../ctrlProps/ctrlProp40.xml"/><Relationship Id="rId37" Type="http://schemas.openxmlformats.org/officeDocument/2006/relationships/ctrlProp" Target="../ctrlProps/ctrlProp61.xml"/><Relationship Id="rId58" Type="http://schemas.openxmlformats.org/officeDocument/2006/relationships/ctrlProp" Target="../ctrlProps/ctrlProp82.xml"/><Relationship Id="rId79" Type="http://schemas.openxmlformats.org/officeDocument/2006/relationships/ctrlProp" Target="../ctrlProps/ctrlProp103.xml"/><Relationship Id="rId102" Type="http://schemas.openxmlformats.org/officeDocument/2006/relationships/ctrlProp" Target="../ctrlProps/ctrlProp126.xml"/><Relationship Id="rId123" Type="http://schemas.openxmlformats.org/officeDocument/2006/relationships/ctrlProp" Target="../ctrlProps/ctrlProp147.xml"/><Relationship Id="rId144" Type="http://schemas.openxmlformats.org/officeDocument/2006/relationships/ctrlProp" Target="../ctrlProps/ctrlProp16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79.xml"/><Relationship Id="rId18" Type="http://schemas.openxmlformats.org/officeDocument/2006/relationships/ctrlProp" Target="../ctrlProps/ctrlProp184.xml"/><Relationship Id="rId26" Type="http://schemas.openxmlformats.org/officeDocument/2006/relationships/ctrlProp" Target="../ctrlProps/ctrlProp192.xml"/><Relationship Id="rId39" Type="http://schemas.openxmlformats.org/officeDocument/2006/relationships/ctrlProp" Target="../ctrlProps/ctrlProp205.xml"/><Relationship Id="rId21" Type="http://schemas.openxmlformats.org/officeDocument/2006/relationships/ctrlProp" Target="../ctrlProps/ctrlProp187.xml"/><Relationship Id="rId34" Type="http://schemas.openxmlformats.org/officeDocument/2006/relationships/ctrlProp" Target="../ctrlProps/ctrlProp200.xml"/><Relationship Id="rId42" Type="http://schemas.openxmlformats.org/officeDocument/2006/relationships/ctrlProp" Target="../ctrlProps/ctrlProp208.xml"/><Relationship Id="rId47" Type="http://schemas.openxmlformats.org/officeDocument/2006/relationships/ctrlProp" Target="../ctrlProps/ctrlProp213.xml"/><Relationship Id="rId7" Type="http://schemas.openxmlformats.org/officeDocument/2006/relationships/ctrlProp" Target="../ctrlProps/ctrlProp173.xml"/><Relationship Id="rId2" Type="http://schemas.openxmlformats.org/officeDocument/2006/relationships/printerSettings" Target="../printerSettings/printerSettings5.bin"/><Relationship Id="rId16" Type="http://schemas.openxmlformats.org/officeDocument/2006/relationships/ctrlProp" Target="../ctrlProps/ctrlProp182.xml"/><Relationship Id="rId29" Type="http://schemas.openxmlformats.org/officeDocument/2006/relationships/ctrlProp" Target="../ctrlProps/ctrlProp195.xml"/><Relationship Id="rId1" Type="http://schemas.openxmlformats.org/officeDocument/2006/relationships/hyperlink" Target="http://www.sample.edu/military" TargetMode="External"/><Relationship Id="rId6" Type="http://schemas.openxmlformats.org/officeDocument/2006/relationships/ctrlProp" Target="../ctrlProps/ctrlProp172.xml"/><Relationship Id="rId11" Type="http://schemas.openxmlformats.org/officeDocument/2006/relationships/ctrlProp" Target="../ctrlProps/ctrlProp177.xml"/><Relationship Id="rId24" Type="http://schemas.openxmlformats.org/officeDocument/2006/relationships/ctrlProp" Target="../ctrlProps/ctrlProp190.xml"/><Relationship Id="rId32" Type="http://schemas.openxmlformats.org/officeDocument/2006/relationships/ctrlProp" Target="../ctrlProps/ctrlProp198.xml"/><Relationship Id="rId37" Type="http://schemas.openxmlformats.org/officeDocument/2006/relationships/ctrlProp" Target="../ctrlProps/ctrlProp203.xml"/><Relationship Id="rId40" Type="http://schemas.openxmlformats.org/officeDocument/2006/relationships/ctrlProp" Target="../ctrlProps/ctrlProp206.xml"/><Relationship Id="rId45" Type="http://schemas.openxmlformats.org/officeDocument/2006/relationships/ctrlProp" Target="../ctrlProps/ctrlProp211.xml"/><Relationship Id="rId5" Type="http://schemas.openxmlformats.org/officeDocument/2006/relationships/ctrlProp" Target="../ctrlProps/ctrlProp171.xml"/><Relationship Id="rId15" Type="http://schemas.openxmlformats.org/officeDocument/2006/relationships/ctrlProp" Target="../ctrlProps/ctrlProp181.xml"/><Relationship Id="rId23" Type="http://schemas.openxmlformats.org/officeDocument/2006/relationships/ctrlProp" Target="../ctrlProps/ctrlProp189.xml"/><Relationship Id="rId28" Type="http://schemas.openxmlformats.org/officeDocument/2006/relationships/ctrlProp" Target="../ctrlProps/ctrlProp194.xml"/><Relationship Id="rId36" Type="http://schemas.openxmlformats.org/officeDocument/2006/relationships/ctrlProp" Target="../ctrlProps/ctrlProp202.xml"/><Relationship Id="rId10" Type="http://schemas.openxmlformats.org/officeDocument/2006/relationships/ctrlProp" Target="../ctrlProps/ctrlProp176.xml"/><Relationship Id="rId19" Type="http://schemas.openxmlformats.org/officeDocument/2006/relationships/ctrlProp" Target="../ctrlProps/ctrlProp185.xml"/><Relationship Id="rId31" Type="http://schemas.openxmlformats.org/officeDocument/2006/relationships/ctrlProp" Target="../ctrlProps/ctrlProp197.xml"/><Relationship Id="rId44" Type="http://schemas.openxmlformats.org/officeDocument/2006/relationships/ctrlProp" Target="../ctrlProps/ctrlProp210.xml"/><Relationship Id="rId4" Type="http://schemas.openxmlformats.org/officeDocument/2006/relationships/vmlDrawing" Target="../drawings/vmlDrawing3.vml"/><Relationship Id="rId9" Type="http://schemas.openxmlformats.org/officeDocument/2006/relationships/ctrlProp" Target="../ctrlProps/ctrlProp175.xml"/><Relationship Id="rId14" Type="http://schemas.openxmlformats.org/officeDocument/2006/relationships/ctrlProp" Target="../ctrlProps/ctrlProp180.xml"/><Relationship Id="rId22" Type="http://schemas.openxmlformats.org/officeDocument/2006/relationships/ctrlProp" Target="../ctrlProps/ctrlProp188.xml"/><Relationship Id="rId27" Type="http://schemas.openxmlformats.org/officeDocument/2006/relationships/ctrlProp" Target="../ctrlProps/ctrlProp193.xml"/><Relationship Id="rId30" Type="http://schemas.openxmlformats.org/officeDocument/2006/relationships/ctrlProp" Target="../ctrlProps/ctrlProp196.xml"/><Relationship Id="rId35" Type="http://schemas.openxmlformats.org/officeDocument/2006/relationships/ctrlProp" Target="../ctrlProps/ctrlProp201.xml"/><Relationship Id="rId43" Type="http://schemas.openxmlformats.org/officeDocument/2006/relationships/ctrlProp" Target="../ctrlProps/ctrlProp209.xml"/><Relationship Id="rId48" Type="http://schemas.openxmlformats.org/officeDocument/2006/relationships/ctrlProp" Target="../ctrlProps/ctrlProp214.xml"/><Relationship Id="rId8" Type="http://schemas.openxmlformats.org/officeDocument/2006/relationships/ctrlProp" Target="../ctrlProps/ctrlProp174.xml"/><Relationship Id="rId3" Type="http://schemas.openxmlformats.org/officeDocument/2006/relationships/drawing" Target="../drawings/drawing3.xml"/><Relationship Id="rId12" Type="http://schemas.openxmlformats.org/officeDocument/2006/relationships/ctrlProp" Target="../ctrlProps/ctrlProp178.xml"/><Relationship Id="rId17" Type="http://schemas.openxmlformats.org/officeDocument/2006/relationships/ctrlProp" Target="../ctrlProps/ctrlProp183.xml"/><Relationship Id="rId25" Type="http://schemas.openxmlformats.org/officeDocument/2006/relationships/ctrlProp" Target="../ctrlProps/ctrlProp191.xml"/><Relationship Id="rId33" Type="http://schemas.openxmlformats.org/officeDocument/2006/relationships/ctrlProp" Target="../ctrlProps/ctrlProp199.xml"/><Relationship Id="rId38" Type="http://schemas.openxmlformats.org/officeDocument/2006/relationships/ctrlProp" Target="../ctrlProps/ctrlProp204.xml"/><Relationship Id="rId46" Type="http://schemas.openxmlformats.org/officeDocument/2006/relationships/ctrlProp" Target="../ctrlProps/ctrlProp212.xml"/><Relationship Id="rId20" Type="http://schemas.openxmlformats.org/officeDocument/2006/relationships/ctrlProp" Target="../ctrlProps/ctrlProp186.xml"/><Relationship Id="rId41" Type="http://schemas.openxmlformats.org/officeDocument/2006/relationships/ctrlProp" Target="../ctrlProps/ctrlProp207.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24.xml"/><Relationship Id="rId18" Type="http://schemas.openxmlformats.org/officeDocument/2006/relationships/ctrlProp" Target="../ctrlProps/ctrlProp229.xml"/><Relationship Id="rId26" Type="http://schemas.openxmlformats.org/officeDocument/2006/relationships/ctrlProp" Target="../ctrlProps/ctrlProp237.xml"/><Relationship Id="rId3" Type="http://schemas.openxmlformats.org/officeDocument/2006/relationships/vmlDrawing" Target="../drawings/vmlDrawing4.vml"/><Relationship Id="rId21" Type="http://schemas.openxmlformats.org/officeDocument/2006/relationships/ctrlProp" Target="../ctrlProps/ctrlProp232.xml"/><Relationship Id="rId34" Type="http://schemas.openxmlformats.org/officeDocument/2006/relationships/ctrlProp" Target="../ctrlProps/ctrlProp245.xml"/><Relationship Id="rId7" Type="http://schemas.openxmlformats.org/officeDocument/2006/relationships/ctrlProp" Target="../ctrlProps/ctrlProp218.xml"/><Relationship Id="rId12" Type="http://schemas.openxmlformats.org/officeDocument/2006/relationships/ctrlProp" Target="../ctrlProps/ctrlProp223.xml"/><Relationship Id="rId17" Type="http://schemas.openxmlformats.org/officeDocument/2006/relationships/ctrlProp" Target="../ctrlProps/ctrlProp228.xml"/><Relationship Id="rId25" Type="http://schemas.openxmlformats.org/officeDocument/2006/relationships/ctrlProp" Target="../ctrlProps/ctrlProp236.xml"/><Relationship Id="rId33" Type="http://schemas.openxmlformats.org/officeDocument/2006/relationships/ctrlProp" Target="../ctrlProps/ctrlProp244.xml"/><Relationship Id="rId2" Type="http://schemas.openxmlformats.org/officeDocument/2006/relationships/drawing" Target="../drawings/drawing4.xml"/><Relationship Id="rId16" Type="http://schemas.openxmlformats.org/officeDocument/2006/relationships/ctrlProp" Target="../ctrlProps/ctrlProp227.xml"/><Relationship Id="rId20" Type="http://schemas.openxmlformats.org/officeDocument/2006/relationships/ctrlProp" Target="../ctrlProps/ctrlProp231.xml"/><Relationship Id="rId29" Type="http://schemas.openxmlformats.org/officeDocument/2006/relationships/ctrlProp" Target="../ctrlProps/ctrlProp240.xml"/><Relationship Id="rId1" Type="http://schemas.openxmlformats.org/officeDocument/2006/relationships/printerSettings" Target="../printerSettings/printerSettings6.bin"/><Relationship Id="rId6" Type="http://schemas.openxmlformats.org/officeDocument/2006/relationships/ctrlProp" Target="../ctrlProps/ctrlProp217.xml"/><Relationship Id="rId11" Type="http://schemas.openxmlformats.org/officeDocument/2006/relationships/ctrlProp" Target="../ctrlProps/ctrlProp222.xml"/><Relationship Id="rId24" Type="http://schemas.openxmlformats.org/officeDocument/2006/relationships/ctrlProp" Target="../ctrlProps/ctrlProp235.xml"/><Relationship Id="rId32" Type="http://schemas.openxmlformats.org/officeDocument/2006/relationships/ctrlProp" Target="../ctrlProps/ctrlProp243.xml"/><Relationship Id="rId5" Type="http://schemas.openxmlformats.org/officeDocument/2006/relationships/ctrlProp" Target="../ctrlProps/ctrlProp216.xml"/><Relationship Id="rId15" Type="http://schemas.openxmlformats.org/officeDocument/2006/relationships/ctrlProp" Target="../ctrlProps/ctrlProp226.xml"/><Relationship Id="rId23" Type="http://schemas.openxmlformats.org/officeDocument/2006/relationships/ctrlProp" Target="../ctrlProps/ctrlProp234.xml"/><Relationship Id="rId28" Type="http://schemas.openxmlformats.org/officeDocument/2006/relationships/ctrlProp" Target="../ctrlProps/ctrlProp239.xml"/><Relationship Id="rId36" Type="http://schemas.openxmlformats.org/officeDocument/2006/relationships/ctrlProp" Target="../ctrlProps/ctrlProp247.xml"/><Relationship Id="rId10" Type="http://schemas.openxmlformats.org/officeDocument/2006/relationships/ctrlProp" Target="../ctrlProps/ctrlProp221.xml"/><Relationship Id="rId19" Type="http://schemas.openxmlformats.org/officeDocument/2006/relationships/ctrlProp" Target="../ctrlProps/ctrlProp230.xml"/><Relationship Id="rId31" Type="http://schemas.openxmlformats.org/officeDocument/2006/relationships/ctrlProp" Target="../ctrlProps/ctrlProp242.xml"/><Relationship Id="rId4" Type="http://schemas.openxmlformats.org/officeDocument/2006/relationships/ctrlProp" Target="../ctrlProps/ctrlProp215.xml"/><Relationship Id="rId9" Type="http://schemas.openxmlformats.org/officeDocument/2006/relationships/ctrlProp" Target="../ctrlProps/ctrlProp220.xml"/><Relationship Id="rId14" Type="http://schemas.openxmlformats.org/officeDocument/2006/relationships/ctrlProp" Target="../ctrlProps/ctrlProp225.xml"/><Relationship Id="rId22" Type="http://schemas.openxmlformats.org/officeDocument/2006/relationships/ctrlProp" Target="../ctrlProps/ctrlProp233.xml"/><Relationship Id="rId27" Type="http://schemas.openxmlformats.org/officeDocument/2006/relationships/ctrlProp" Target="../ctrlProps/ctrlProp238.xml"/><Relationship Id="rId30" Type="http://schemas.openxmlformats.org/officeDocument/2006/relationships/ctrlProp" Target="../ctrlProps/ctrlProp241.xml"/><Relationship Id="rId35" Type="http://schemas.openxmlformats.org/officeDocument/2006/relationships/ctrlProp" Target="../ctrlProps/ctrlProp246.xml"/><Relationship Id="rId8" Type="http://schemas.openxmlformats.org/officeDocument/2006/relationships/ctrlProp" Target="../ctrlProps/ctrlProp219.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57.xml"/><Relationship Id="rId18" Type="http://schemas.openxmlformats.org/officeDocument/2006/relationships/ctrlProp" Target="../ctrlProps/ctrlProp262.xml"/><Relationship Id="rId26" Type="http://schemas.openxmlformats.org/officeDocument/2006/relationships/ctrlProp" Target="../ctrlProps/ctrlProp270.xml"/><Relationship Id="rId39" Type="http://schemas.openxmlformats.org/officeDocument/2006/relationships/ctrlProp" Target="../ctrlProps/ctrlProp283.xml"/><Relationship Id="rId21" Type="http://schemas.openxmlformats.org/officeDocument/2006/relationships/ctrlProp" Target="../ctrlProps/ctrlProp265.xml"/><Relationship Id="rId34" Type="http://schemas.openxmlformats.org/officeDocument/2006/relationships/ctrlProp" Target="../ctrlProps/ctrlProp278.xml"/><Relationship Id="rId42" Type="http://schemas.openxmlformats.org/officeDocument/2006/relationships/ctrlProp" Target="../ctrlProps/ctrlProp286.xml"/><Relationship Id="rId7" Type="http://schemas.openxmlformats.org/officeDocument/2006/relationships/ctrlProp" Target="../ctrlProps/ctrlProp251.xml"/><Relationship Id="rId2" Type="http://schemas.openxmlformats.org/officeDocument/2006/relationships/drawing" Target="../drawings/drawing5.xml"/><Relationship Id="rId16" Type="http://schemas.openxmlformats.org/officeDocument/2006/relationships/ctrlProp" Target="../ctrlProps/ctrlProp260.xml"/><Relationship Id="rId20" Type="http://schemas.openxmlformats.org/officeDocument/2006/relationships/ctrlProp" Target="../ctrlProps/ctrlProp264.xml"/><Relationship Id="rId29" Type="http://schemas.openxmlformats.org/officeDocument/2006/relationships/ctrlProp" Target="../ctrlProps/ctrlProp273.xml"/><Relationship Id="rId41" Type="http://schemas.openxmlformats.org/officeDocument/2006/relationships/ctrlProp" Target="../ctrlProps/ctrlProp285.xml"/><Relationship Id="rId1" Type="http://schemas.openxmlformats.org/officeDocument/2006/relationships/printerSettings" Target="../printerSettings/printerSettings7.bin"/><Relationship Id="rId6" Type="http://schemas.openxmlformats.org/officeDocument/2006/relationships/ctrlProp" Target="../ctrlProps/ctrlProp250.xml"/><Relationship Id="rId11" Type="http://schemas.openxmlformats.org/officeDocument/2006/relationships/ctrlProp" Target="../ctrlProps/ctrlProp255.xml"/><Relationship Id="rId24" Type="http://schemas.openxmlformats.org/officeDocument/2006/relationships/ctrlProp" Target="../ctrlProps/ctrlProp268.xml"/><Relationship Id="rId32" Type="http://schemas.openxmlformats.org/officeDocument/2006/relationships/ctrlProp" Target="../ctrlProps/ctrlProp276.xml"/><Relationship Id="rId37" Type="http://schemas.openxmlformats.org/officeDocument/2006/relationships/ctrlProp" Target="../ctrlProps/ctrlProp281.xml"/><Relationship Id="rId40" Type="http://schemas.openxmlformats.org/officeDocument/2006/relationships/ctrlProp" Target="../ctrlProps/ctrlProp284.xml"/><Relationship Id="rId5" Type="http://schemas.openxmlformats.org/officeDocument/2006/relationships/ctrlProp" Target="../ctrlProps/ctrlProp249.xml"/><Relationship Id="rId15" Type="http://schemas.openxmlformats.org/officeDocument/2006/relationships/ctrlProp" Target="../ctrlProps/ctrlProp259.xml"/><Relationship Id="rId23" Type="http://schemas.openxmlformats.org/officeDocument/2006/relationships/ctrlProp" Target="../ctrlProps/ctrlProp267.xml"/><Relationship Id="rId28" Type="http://schemas.openxmlformats.org/officeDocument/2006/relationships/ctrlProp" Target="../ctrlProps/ctrlProp272.xml"/><Relationship Id="rId36" Type="http://schemas.openxmlformats.org/officeDocument/2006/relationships/ctrlProp" Target="../ctrlProps/ctrlProp280.xml"/><Relationship Id="rId10" Type="http://schemas.openxmlformats.org/officeDocument/2006/relationships/ctrlProp" Target="../ctrlProps/ctrlProp254.xml"/><Relationship Id="rId19" Type="http://schemas.openxmlformats.org/officeDocument/2006/relationships/ctrlProp" Target="../ctrlProps/ctrlProp263.xml"/><Relationship Id="rId31" Type="http://schemas.openxmlformats.org/officeDocument/2006/relationships/ctrlProp" Target="../ctrlProps/ctrlProp275.xml"/><Relationship Id="rId44" Type="http://schemas.openxmlformats.org/officeDocument/2006/relationships/ctrlProp" Target="../ctrlProps/ctrlProp288.xml"/><Relationship Id="rId4" Type="http://schemas.openxmlformats.org/officeDocument/2006/relationships/ctrlProp" Target="../ctrlProps/ctrlProp248.xml"/><Relationship Id="rId9" Type="http://schemas.openxmlformats.org/officeDocument/2006/relationships/ctrlProp" Target="../ctrlProps/ctrlProp253.xml"/><Relationship Id="rId14" Type="http://schemas.openxmlformats.org/officeDocument/2006/relationships/ctrlProp" Target="../ctrlProps/ctrlProp258.xml"/><Relationship Id="rId22" Type="http://schemas.openxmlformats.org/officeDocument/2006/relationships/ctrlProp" Target="../ctrlProps/ctrlProp266.xml"/><Relationship Id="rId27" Type="http://schemas.openxmlformats.org/officeDocument/2006/relationships/ctrlProp" Target="../ctrlProps/ctrlProp271.xml"/><Relationship Id="rId30" Type="http://schemas.openxmlformats.org/officeDocument/2006/relationships/ctrlProp" Target="../ctrlProps/ctrlProp274.xml"/><Relationship Id="rId35" Type="http://schemas.openxmlformats.org/officeDocument/2006/relationships/ctrlProp" Target="../ctrlProps/ctrlProp279.xml"/><Relationship Id="rId43" Type="http://schemas.openxmlformats.org/officeDocument/2006/relationships/ctrlProp" Target="../ctrlProps/ctrlProp287.xml"/><Relationship Id="rId8" Type="http://schemas.openxmlformats.org/officeDocument/2006/relationships/ctrlProp" Target="../ctrlProps/ctrlProp252.xml"/><Relationship Id="rId3" Type="http://schemas.openxmlformats.org/officeDocument/2006/relationships/vmlDrawing" Target="../drawings/vmlDrawing5.vml"/><Relationship Id="rId12" Type="http://schemas.openxmlformats.org/officeDocument/2006/relationships/ctrlProp" Target="../ctrlProps/ctrlProp256.xml"/><Relationship Id="rId17" Type="http://schemas.openxmlformats.org/officeDocument/2006/relationships/ctrlProp" Target="../ctrlProps/ctrlProp261.xml"/><Relationship Id="rId25" Type="http://schemas.openxmlformats.org/officeDocument/2006/relationships/ctrlProp" Target="../ctrlProps/ctrlProp269.xml"/><Relationship Id="rId33" Type="http://schemas.openxmlformats.org/officeDocument/2006/relationships/ctrlProp" Target="../ctrlProps/ctrlProp277.xml"/><Relationship Id="rId38" Type="http://schemas.openxmlformats.org/officeDocument/2006/relationships/ctrlProp" Target="../ctrlProps/ctrlProp28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trlProp" Target="../ctrlProps/ctrlProp289.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299.xml"/><Relationship Id="rId18" Type="http://schemas.openxmlformats.org/officeDocument/2006/relationships/ctrlProp" Target="../ctrlProps/ctrlProp304.xml"/><Relationship Id="rId26" Type="http://schemas.openxmlformats.org/officeDocument/2006/relationships/ctrlProp" Target="../ctrlProps/ctrlProp312.xml"/><Relationship Id="rId39" Type="http://schemas.openxmlformats.org/officeDocument/2006/relationships/ctrlProp" Target="../ctrlProps/ctrlProp325.xml"/><Relationship Id="rId21" Type="http://schemas.openxmlformats.org/officeDocument/2006/relationships/ctrlProp" Target="../ctrlProps/ctrlProp307.xml"/><Relationship Id="rId34" Type="http://schemas.openxmlformats.org/officeDocument/2006/relationships/ctrlProp" Target="../ctrlProps/ctrlProp320.xml"/><Relationship Id="rId42" Type="http://schemas.openxmlformats.org/officeDocument/2006/relationships/ctrlProp" Target="../ctrlProps/ctrlProp328.xml"/><Relationship Id="rId47" Type="http://schemas.openxmlformats.org/officeDocument/2006/relationships/ctrlProp" Target="../ctrlProps/ctrlProp333.xml"/><Relationship Id="rId50" Type="http://schemas.openxmlformats.org/officeDocument/2006/relationships/ctrlProp" Target="../ctrlProps/ctrlProp336.xml"/><Relationship Id="rId55" Type="http://schemas.openxmlformats.org/officeDocument/2006/relationships/ctrlProp" Target="../ctrlProps/ctrlProp341.xml"/><Relationship Id="rId7" Type="http://schemas.openxmlformats.org/officeDocument/2006/relationships/ctrlProp" Target="../ctrlProps/ctrlProp293.xml"/><Relationship Id="rId2" Type="http://schemas.openxmlformats.org/officeDocument/2006/relationships/drawing" Target="../drawings/drawing7.xml"/><Relationship Id="rId16" Type="http://schemas.openxmlformats.org/officeDocument/2006/relationships/ctrlProp" Target="../ctrlProps/ctrlProp302.xml"/><Relationship Id="rId29" Type="http://schemas.openxmlformats.org/officeDocument/2006/relationships/ctrlProp" Target="../ctrlProps/ctrlProp315.xml"/><Relationship Id="rId11" Type="http://schemas.openxmlformats.org/officeDocument/2006/relationships/ctrlProp" Target="../ctrlProps/ctrlProp297.xml"/><Relationship Id="rId24" Type="http://schemas.openxmlformats.org/officeDocument/2006/relationships/ctrlProp" Target="../ctrlProps/ctrlProp310.xml"/><Relationship Id="rId32" Type="http://schemas.openxmlformats.org/officeDocument/2006/relationships/ctrlProp" Target="../ctrlProps/ctrlProp318.xml"/><Relationship Id="rId37" Type="http://schemas.openxmlformats.org/officeDocument/2006/relationships/ctrlProp" Target="../ctrlProps/ctrlProp323.xml"/><Relationship Id="rId40" Type="http://schemas.openxmlformats.org/officeDocument/2006/relationships/ctrlProp" Target="../ctrlProps/ctrlProp326.xml"/><Relationship Id="rId45" Type="http://schemas.openxmlformats.org/officeDocument/2006/relationships/ctrlProp" Target="../ctrlProps/ctrlProp331.xml"/><Relationship Id="rId53" Type="http://schemas.openxmlformats.org/officeDocument/2006/relationships/ctrlProp" Target="../ctrlProps/ctrlProp339.xml"/><Relationship Id="rId58" Type="http://schemas.openxmlformats.org/officeDocument/2006/relationships/ctrlProp" Target="../ctrlProps/ctrlProp344.xml"/><Relationship Id="rId5" Type="http://schemas.openxmlformats.org/officeDocument/2006/relationships/ctrlProp" Target="../ctrlProps/ctrlProp291.xml"/><Relationship Id="rId19" Type="http://schemas.openxmlformats.org/officeDocument/2006/relationships/ctrlProp" Target="../ctrlProps/ctrlProp305.xml"/><Relationship Id="rId4" Type="http://schemas.openxmlformats.org/officeDocument/2006/relationships/ctrlProp" Target="../ctrlProps/ctrlProp290.xml"/><Relationship Id="rId9" Type="http://schemas.openxmlformats.org/officeDocument/2006/relationships/ctrlProp" Target="../ctrlProps/ctrlProp295.xml"/><Relationship Id="rId14" Type="http://schemas.openxmlformats.org/officeDocument/2006/relationships/ctrlProp" Target="../ctrlProps/ctrlProp300.xml"/><Relationship Id="rId22" Type="http://schemas.openxmlformats.org/officeDocument/2006/relationships/ctrlProp" Target="../ctrlProps/ctrlProp308.xml"/><Relationship Id="rId27" Type="http://schemas.openxmlformats.org/officeDocument/2006/relationships/ctrlProp" Target="../ctrlProps/ctrlProp313.xml"/><Relationship Id="rId30" Type="http://schemas.openxmlformats.org/officeDocument/2006/relationships/ctrlProp" Target="../ctrlProps/ctrlProp316.xml"/><Relationship Id="rId35" Type="http://schemas.openxmlformats.org/officeDocument/2006/relationships/ctrlProp" Target="../ctrlProps/ctrlProp321.xml"/><Relationship Id="rId43" Type="http://schemas.openxmlformats.org/officeDocument/2006/relationships/ctrlProp" Target="../ctrlProps/ctrlProp329.xml"/><Relationship Id="rId48" Type="http://schemas.openxmlformats.org/officeDocument/2006/relationships/ctrlProp" Target="../ctrlProps/ctrlProp334.xml"/><Relationship Id="rId56" Type="http://schemas.openxmlformats.org/officeDocument/2006/relationships/ctrlProp" Target="../ctrlProps/ctrlProp342.xml"/><Relationship Id="rId8" Type="http://schemas.openxmlformats.org/officeDocument/2006/relationships/ctrlProp" Target="../ctrlProps/ctrlProp294.xml"/><Relationship Id="rId51" Type="http://schemas.openxmlformats.org/officeDocument/2006/relationships/ctrlProp" Target="../ctrlProps/ctrlProp337.xml"/><Relationship Id="rId3" Type="http://schemas.openxmlformats.org/officeDocument/2006/relationships/vmlDrawing" Target="../drawings/vmlDrawing7.vml"/><Relationship Id="rId12" Type="http://schemas.openxmlformats.org/officeDocument/2006/relationships/ctrlProp" Target="../ctrlProps/ctrlProp298.xml"/><Relationship Id="rId17" Type="http://schemas.openxmlformats.org/officeDocument/2006/relationships/ctrlProp" Target="../ctrlProps/ctrlProp303.xml"/><Relationship Id="rId25" Type="http://schemas.openxmlformats.org/officeDocument/2006/relationships/ctrlProp" Target="../ctrlProps/ctrlProp311.xml"/><Relationship Id="rId33" Type="http://schemas.openxmlformats.org/officeDocument/2006/relationships/ctrlProp" Target="../ctrlProps/ctrlProp319.xml"/><Relationship Id="rId38" Type="http://schemas.openxmlformats.org/officeDocument/2006/relationships/ctrlProp" Target="../ctrlProps/ctrlProp324.xml"/><Relationship Id="rId46" Type="http://schemas.openxmlformats.org/officeDocument/2006/relationships/ctrlProp" Target="../ctrlProps/ctrlProp332.xml"/><Relationship Id="rId59" Type="http://schemas.openxmlformats.org/officeDocument/2006/relationships/ctrlProp" Target="../ctrlProps/ctrlProp345.xml"/><Relationship Id="rId20" Type="http://schemas.openxmlformats.org/officeDocument/2006/relationships/ctrlProp" Target="../ctrlProps/ctrlProp306.xml"/><Relationship Id="rId41" Type="http://schemas.openxmlformats.org/officeDocument/2006/relationships/ctrlProp" Target="../ctrlProps/ctrlProp327.xml"/><Relationship Id="rId54" Type="http://schemas.openxmlformats.org/officeDocument/2006/relationships/ctrlProp" Target="../ctrlProps/ctrlProp340.xml"/><Relationship Id="rId1" Type="http://schemas.openxmlformats.org/officeDocument/2006/relationships/printerSettings" Target="../printerSettings/printerSettings9.bin"/><Relationship Id="rId6" Type="http://schemas.openxmlformats.org/officeDocument/2006/relationships/ctrlProp" Target="../ctrlProps/ctrlProp292.xml"/><Relationship Id="rId15" Type="http://schemas.openxmlformats.org/officeDocument/2006/relationships/ctrlProp" Target="../ctrlProps/ctrlProp301.xml"/><Relationship Id="rId23" Type="http://schemas.openxmlformats.org/officeDocument/2006/relationships/ctrlProp" Target="../ctrlProps/ctrlProp309.xml"/><Relationship Id="rId28" Type="http://schemas.openxmlformats.org/officeDocument/2006/relationships/ctrlProp" Target="../ctrlProps/ctrlProp314.xml"/><Relationship Id="rId36" Type="http://schemas.openxmlformats.org/officeDocument/2006/relationships/ctrlProp" Target="../ctrlProps/ctrlProp322.xml"/><Relationship Id="rId49" Type="http://schemas.openxmlformats.org/officeDocument/2006/relationships/ctrlProp" Target="../ctrlProps/ctrlProp335.xml"/><Relationship Id="rId57" Type="http://schemas.openxmlformats.org/officeDocument/2006/relationships/ctrlProp" Target="../ctrlProps/ctrlProp343.xml"/><Relationship Id="rId10" Type="http://schemas.openxmlformats.org/officeDocument/2006/relationships/ctrlProp" Target="../ctrlProps/ctrlProp296.xml"/><Relationship Id="rId31" Type="http://schemas.openxmlformats.org/officeDocument/2006/relationships/ctrlProp" Target="../ctrlProps/ctrlProp317.xml"/><Relationship Id="rId44" Type="http://schemas.openxmlformats.org/officeDocument/2006/relationships/ctrlProp" Target="../ctrlProps/ctrlProp330.xml"/><Relationship Id="rId52" Type="http://schemas.openxmlformats.org/officeDocument/2006/relationships/ctrlProp" Target="../ctrlProps/ctrlProp33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D4ADD-E53E-934A-B27F-B8E6A03A0E84}">
  <dimension ref="A1:C801"/>
  <sheetViews>
    <sheetView topLeftCell="A769" zoomScale="125" zoomScaleNormal="100" workbookViewId="0">
      <selection activeCell="B802" sqref="B802"/>
    </sheetView>
  </sheetViews>
  <sheetFormatPr defaultColWidth="8.6640625" defaultRowHeight="15.5" x14ac:dyDescent="0.35"/>
  <cols>
    <col min="1" max="1" width="46.5" style="421" customWidth="1"/>
    <col min="2" max="2" width="92" style="456" customWidth="1"/>
    <col min="3" max="16384" width="8.6640625" style="120"/>
  </cols>
  <sheetData>
    <row r="1" spans="1:2" x14ac:dyDescent="0.35">
      <c r="A1" s="417" t="s">
        <v>747</v>
      </c>
      <c r="B1" s="424" t="s">
        <v>187</v>
      </c>
    </row>
    <row r="2" spans="1:2" x14ac:dyDescent="0.35">
      <c r="A2" s="67" t="s">
        <v>1664</v>
      </c>
      <c r="B2" s="425">
        <f>'CDS-D'!$C$15</f>
        <v>51</v>
      </c>
    </row>
    <row r="3" spans="1:2" x14ac:dyDescent="0.35">
      <c r="A3" s="67" t="s">
        <v>1665</v>
      </c>
      <c r="B3" s="425">
        <f>'CDS-D'!$D$15</f>
        <v>21</v>
      </c>
    </row>
    <row r="4" spans="1:2" x14ac:dyDescent="0.35">
      <c r="A4" s="67" t="s">
        <v>1666</v>
      </c>
      <c r="B4" s="425">
        <f>'CDS-D'!$E$15</f>
        <v>13</v>
      </c>
    </row>
    <row r="5" spans="1:2" x14ac:dyDescent="0.35">
      <c r="A5" s="67" t="s">
        <v>1274</v>
      </c>
      <c r="B5" s="418" t="str">
        <f>'CDS-D'!$K$5</f>
        <v>Yes</v>
      </c>
    </row>
    <row r="6" spans="1:2" x14ac:dyDescent="0.35">
      <c r="A6" s="418" t="s">
        <v>1600</v>
      </c>
      <c r="B6" s="426" t="e">
        <f>'CDS-C'!$K$83</f>
        <v>#N/A</v>
      </c>
    </row>
    <row r="7" spans="1:2" x14ac:dyDescent="0.35">
      <c r="A7" s="418" t="s">
        <v>1601</v>
      </c>
      <c r="B7" s="426" t="str">
        <f>""&amp;'CDS-C'!$B$88</f>
        <v xml:space="preserve"> </v>
      </c>
    </row>
    <row r="8" spans="1:2" x14ac:dyDescent="0.35">
      <c r="A8" s="418" t="s">
        <v>1602</v>
      </c>
      <c r="B8" s="426" t="str">
        <f>'CDS-C'!$I$93</f>
        <v>Very important</v>
      </c>
    </row>
    <row r="9" spans="1:2" x14ac:dyDescent="0.35">
      <c r="A9" s="418" t="s">
        <v>1603</v>
      </c>
      <c r="B9" s="426" t="str">
        <f>'CDS-C'!$I$94</f>
        <v>Considered</v>
      </c>
    </row>
    <row r="10" spans="1:2" x14ac:dyDescent="0.35">
      <c r="A10" s="418" t="s">
        <v>1604</v>
      </c>
      <c r="B10" s="426" t="str">
        <f>'CDS-C'!$I$95</f>
        <v>Very important</v>
      </c>
    </row>
    <row r="11" spans="1:2" x14ac:dyDescent="0.35">
      <c r="A11" s="418" t="s">
        <v>1607</v>
      </c>
      <c r="B11" s="426" t="str">
        <f>'CDS-C'!$I$98</f>
        <v>Considered</v>
      </c>
    </row>
    <row r="12" spans="1:2" x14ac:dyDescent="0.35">
      <c r="A12" s="418" t="s">
        <v>1605</v>
      </c>
      <c r="B12" s="426" t="str">
        <f>'CDS-C'!$I$96</f>
        <v>Considered</v>
      </c>
    </row>
    <row r="13" spans="1:2" x14ac:dyDescent="0.35">
      <c r="A13" s="418" t="s">
        <v>1606</v>
      </c>
      <c r="B13" s="426" t="str">
        <f>'CDS-C'!$I$97</f>
        <v>Important</v>
      </c>
    </row>
    <row r="14" spans="1:2" ht="54" customHeight="1" x14ac:dyDescent="0.35">
      <c r="A14" s="418" t="s">
        <v>1608</v>
      </c>
      <c r="B14" s="426" t="str">
        <f>'CDS-C'!$I$100</f>
        <v>Considered</v>
      </c>
    </row>
    <row r="15" spans="1:2" x14ac:dyDescent="0.35">
      <c r="A15" s="418" t="s">
        <v>1609</v>
      </c>
      <c r="B15" s="426" t="str">
        <f>'CDS-C'!$I$101</f>
        <v>Important</v>
      </c>
    </row>
    <row r="16" spans="1:2" ht="112.5" customHeight="1" x14ac:dyDescent="0.35">
      <c r="A16" s="418" t="s">
        <v>1610</v>
      </c>
      <c r="B16" s="426" t="str">
        <f>'CDS-C'!$I$102</f>
        <v>Important</v>
      </c>
    </row>
    <row r="17" spans="1:3" x14ac:dyDescent="0.35">
      <c r="A17" s="418" t="s">
        <v>1611</v>
      </c>
      <c r="B17" s="426" t="str">
        <f>'CDS-C'!$I$103</f>
        <v>Important</v>
      </c>
    </row>
    <row r="18" spans="1:3" x14ac:dyDescent="0.35">
      <c r="A18" s="418" t="s">
        <v>1612</v>
      </c>
      <c r="B18" s="426" t="str">
        <f>'CDS-C'!$I$104</f>
        <v>Not considered</v>
      </c>
    </row>
    <row r="19" spans="1:3" x14ac:dyDescent="0.35">
      <c r="A19" s="418" t="s">
        <v>1613</v>
      </c>
      <c r="B19" s="426" t="str">
        <f>'CDS-C'!$I$105</f>
        <v>Not considered</v>
      </c>
    </row>
    <row r="20" spans="1:3" x14ac:dyDescent="0.35">
      <c r="A20" s="418" t="s">
        <v>1614</v>
      </c>
      <c r="B20" s="426" t="str">
        <f>'CDS-C'!$I$106</f>
        <v>Not considered</v>
      </c>
    </row>
    <row r="21" spans="1:3" x14ac:dyDescent="0.35">
      <c r="A21" s="418" t="s">
        <v>1615</v>
      </c>
      <c r="B21" s="426" t="str">
        <f>'CDS-C'!$I$107</f>
        <v>Not considered</v>
      </c>
    </row>
    <row r="22" spans="1:3" x14ac:dyDescent="0.35">
      <c r="A22" s="418" t="s">
        <v>1616</v>
      </c>
      <c r="B22" s="426" t="str">
        <f>'CDS-C'!$I$108</f>
        <v>Not considered</v>
      </c>
    </row>
    <row r="23" spans="1:3" x14ac:dyDescent="0.35">
      <c r="A23" s="418" t="s">
        <v>1617</v>
      </c>
      <c r="B23" s="426" t="str">
        <f>'CDS-C'!$I$109</f>
        <v>Not considered</v>
      </c>
    </row>
    <row r="24" spans="1:3" x14ac:dyDescent="0.35">
      <c r="A24" s="418" t="s">
        <v>1618</v>
      </c>
      <c r="B24" s="426" t="str">
        <f>'CDS-C'!$I$110</f>
        <v>Not considered</v>
      </c>
    </row>
    <row r="25" spans="1:3" x14ac:dyDescent="0.35">
      <c r="A25" s="418" t="s">
        <v>1619</v>
      </c>
      <c r="B25" s="426" t="str">
        <f>'CDS-C'!$I$111</f>
        <v>Considered</v>
      </c>
    </row>
    <row r="26" spans="1:3" x14ac:dyDescent="0.35">
      <c r="A26" s="418" t="s">
        <v>1620</v>
      </c>
      <c r="B26" s="426" t="str">
        <f>'CDS-C'!$I$112</f>
        <v>Not considered</v>
      </c>
    </row>
    <row r="27" spans="1:3" x14ac:dyDescent="0.35">
      <c r="A27" s="418" t="s">
        <v>1621</v>
      </c>
      <c r="B27" s="427" t="str">
        <f>'CDS-C'!$H$122</f>
        <v>No</v>
      </c>
    </row>
    <row r="28" spans="1:3" x14ac:dyDescent="0.35">
      <c r="A28" s="418" t="s">
        <v>1622</v>
      </c>
      <c r="B28" s="426" t="str">
        <f>'CDS-C'!$U$127</f>
        <v>Require for Some</v>
      </c>
    </row>
    <row r="29" spans="1:3" x14ac:dyDescent="0.35">
      <c r="A29" s="418" t="s">
        <v>1623</v>
      </c>
      <c r="B29" s="426" t="str">
        <f>'CDS-C'!$U$128</f>
        <v>Not Considered</v>
      </c>
    </row>
    <row r="30" spans="1:3" x14ac:dyDescent="0.35">
      <c r="A30" s="418" t="s">
        <v>1624</v>
      </c>
      <c r="B30" s="426" t="str">
        <f>'CDS-C'!$U$129</f>
        <v>Not Considered</v>
      </c>
    </row>
    <row r="31" spans="1:3" x14ac:dyDescent="0.35">
      <c r="A31" s="418" t="s">
        <v>1625</v>
      </c>
      <c r="B31" s="428" t="str">
        <f>'CDS-C'!$H$133</f>
        <v>No</v>
      </c>
    </row>
    <row r="32" spans="1:3" x14ac:dyDescent="0.35">
      <c r="A32" s="510" t="s">
        <v>1626</v>
      </c>
      <c r="B32" s="456" t="str" cm="1">
        <f t="array" aca="1" ref="B32" ca="1">IF(AND(ISNUMBER(CELL("contents",C32)),(C32&gt;0)),TEXT(C32,"MM/DD"),"")</f>
        <v/>
      </c>
      <c r="C32" s="511" t="str">
        <f>'CDS-C'!$F$135</f>
        <v xml:space="preserve"> </v>
      </c>
    </row>
    <row r="33" spans="1:3" ht="77" customHeight="1" x14ac:dyDescent="0.35">
      <c r="A33" s="510" t="s">
        <v>1627</v>
      </c>
      <c r="B33" s="456" t="str" cm="1">
        <f t="array" aca="1" ref="B33" ca="1">IF(AND(ISNUMBER(CELL("contents",C33)),(C33&gt;0)),TEXT(C33,"MM/DD"),"")</f>
        <v/>
      </c>
      <c r="C33" s="511" t="str">
        <f>'CDS-C'!$F$136</f>
        <v xml:space="preserve"> </v>
      </c>
    </row>
    <row r="34" spans="1:3" x14ac:dyDescent="0.35">
      <c r="A34" s="418" t="s">
        <v>1628</v>
      </c>
      <c r="B34" s="429" t="str">
        <f>""&amp;'CDS-D'!$D$153</f>
        <v/>
      </c>
    </row>
    <row r="35" spans="1:3" x14ac:dyDescent="0.35">
      <c r="A35" s="419" t="s">
        <v>728</v>
      </c>
      <c r="B35" s="426" t="str" cm="1">
        <f t="array" ref="B35">_xlfn.IFS('CDS-C'!$G$52=1, 'CDS-C'!$F$52, 'CDS-C'!$G$52=2, 'CDS-C'!$F$53, 'CDS-C'!$G$52=3, 'CDS-C'!$F$54)</f>
        <v>High school diploma is required and GED is accepted</v>
      </c>
    </row>
    <row r="36" spans="1:3" x14ac:dyDescent="0.35">
      <c r="A36" s="418" t="s">
        <v>1629</v>
      </c>
      <c r="B36" s="430" t="str">
        <f>'CDS-C'!$H$241</f>
        <v>No</v>
      </c>
    </row>
    <row r="37" spans="1:3" x14ac:dyDescent="0.35">
      <c r="A37" s="418" t="s">
        <v>1630</v>
      </c>
      <c r="B37" s="431" t="str">
        <f>'CDS-C'!$D$243</f>
        <v xml:space="preserve"> </v>
      </c>
    </row>
    <row r="38" spans="1:3" x14ac:dyDescent="0.35">
      <c r="A38" s="418" t="s">
        <v>1631</v>
      </c>
      <c r="B38" s="427" t="e">
        <f>'CDS-C'!$H$246</f>
        <v>#N/A</v>
      </c>
    </row>
    <row r="39" spans="1:3" x14ac:dyDescent="0.35">
      <c r="A39" s="418" t="s">
        <v>1632</v>
      </c>
      <c r="B39" s="426" t="e">
        <f>'CDS-C'!$I$250</f>
        <v>#N/A</v>
      </c>
    </row>
    <row r="40" spans="1:3" x14ac:dyDescent="0.35">
      <c r="A40" s="418" t="s">
        <v>1633</v>
      </c>
      <c r="B40" s="432" t="e">
        <f>'CDS-C'!$H$253</f>
        <v>#N/A</v>
      </c>
    </row>
    <row r="41" spans="1:3" x14ac:dyDescent="0.35">
      <c r="A41" s="510" t="s">
        <v>1636</v>
      </c>
      <c r="B41" s="456" t="str" cm="1">
        <f t="array" aca="1" ref="B41" ca="1">IF(AND(ISNUMBER(CELL("contents",C41)),(C41&gt;0)),TEXT(C41,"MM/DD"),"")</f>
        <v>11/01</v>
      </c>
      <c r="C41" s="512">
        <f>'CDS-C'!$C$261</f>
        <v>45231</v>
      </c>
    </row>
    <row r="42" spans="1:3" x14ac:dyDescent="0.35">
      <c r="A42" s="418" t="s">
        <v>1637</v>
      </c>
      <c r="B42" s="426" t="str">
        <f>'CDS-C'!$H$265</f>
        <v>Yes</v>
      </c>
    </row>
    <row r="43" spans="1:3" x14ac:dyDescent="0.35">
      <c r="A43" s="418" t="s">
        <v>1635</v>
      </c>
      <c r="B43" s="429" t="str">
        <f>'CDS-C'!$H$257</f>
        <v>Yes</v>
      </c>
    </row>
    <row r="44" spans="1:3" x14ac:dyDescent="0.35">
      <c r="A44" s="510" t="s">
        <v>1634</v>
      </c>
      <c r="B44" s="456" t="str" cm="1">
        <f t="array" aca="1" ref="B44" ca="1">IF(AND(ISNUMBER(CELL("contents",C44)),(C44&gt;0)),TEXT(C44,"MM/DD"),"")</f>
        <v>03/01</v>
      </c>
      <c r="C44" s="512">
        <f>'CDS-C'!$C$260</f>
        <v>44986</v>
      </c>
    </row>
    <row r="45" spans="1:3" x14ac:dyDescent="0.35">
      <c r="A45" s="418" t="s">
        <v>1638</v>
      </c>
      <c r="B45" s="426" t="str">
        <f>'CDS-C'!$H$269</f>
        <v>No</v>
      </c>
    </row>
    <row r="46" spans="1:3" x14ac:dyDescent="0.35">
      <c r="A46" s="510" t="s">
        <v>1639</v>
      </c>
      <c r="B46" s="456" t="str" cm="1">
        <f t="array" aca="1" ref="B46" ca="1">IF(AND(ISNUMBER(CELL("contents",C46)),(C46&gt;0)),TEXT(C46,"MM/DD"),"")</f>
        <v>04/01</v>
      </c>
      <c r="C46" s="513">
        <f>'CDS-C'!$C$270</f>
        <v>45017</v>
      </c>
    </row>
    <row r="47" spans="1:3" x14ac:dyDescent="0.35">
      <c r="A47" s="418" t="s">
        <v>1640</v>
      </c>
      <c r="B47" s="426" t="str">
        <f>'CDS-C'!$J$274</f>
        <v>Must reply by May 1st (or within set number of weeks if notified thereafter)</v>
      </c>
    </row>
    <row r="48" spans="1:3" x14ac:dyDescent="0.35">
      <c r="A48" s="418" t="s">
        <v>1641</v>
      </c>
      <c r="B48" s="426" t="str">
        <f>""&amp;'CDS-C'!$C$277</f>
        <v>2</v>
      </c>
    </row>
    <row r="49" spans="1:3" x14ac:dyDescent="0.35">
      <c r="A49" s="418" t="s">
        <v>1642</v>
      </c>
      <c r="B49" s="426" t="str">
        <f>""&amp;'CDS-C'!$C$278</f>
        <v/>
      </c>
    </row>
    <row r="50" spans="1:3" x14ac:dyDescent="0.35">
      <c r="A50" s="418" t="s">
        <v>1667</v>
      </c>
      <c r="B50" s="426" t="str" cm="1">
        <f t="array" aca="1" ref="B50" ca="1">IF(AND(ISNUMBER(CELL("contents",C50)),(C50&gt;0)),TEXT(C50,"MM/DD"),"")</f>
        <v/>
      </c>
      <c r="C50" s="120" t="str">
        <f>'CDS-C'!$C$275</f>
        <v xml:space="preserve"> </v>
      </c>
    </row>
    <row r="51" spans="1:3" x14ac:dyDescent="0.35">
      <c r="A51" s="419" t="s">
        <v>735</v>
      </c>
      <c r="B51" s="426" t="str">
        <f>'CDS-C'!$H$36</f>
        <v>No</v>
      </c>
    </row>
    <row r="52" spans="1:3" x14ac:dyDescent="0.35">
      <c r="A52" s="419" t="s">
        <v>734</v>
      </c>
      <c r="B52" s="426" t="str">
        <f>'CDS-C'!$E$41</f>
        <v xml:space="preserve"> </v>
      </c>
    </row>
    <row r="53" spans="1:3" x14ac:dyDescent="0.35">
      <c r="A53" s="419" t="s">
        <v>733</v>
      </c>
      <c r="B53" s="426" t="str">
        <f>'CDS-C'!$E$42</f>
        <v xml:space="preserve"> </v>
      </c>
    </row>
    <row r="54" spans="1:3" x14ac:dyDescent="0.35">
      <c r="A54" s="419" t="s">
        <v>732</v>
      </c>
      <c r="B54" s="426" t="str">
        <f>""&amp;'CDS-C'!$E$43</f>
        <v xml:space="preserve"> </v>
      </c>
    </row>
    <row r="55" spans="1:3" x14ac:dyDescent="0.35">
      <c r="A55" s="419" t="s">
        <v>731</v>
      </c>
      <c r="B55" s="426" t="e">
        <f>'CDS-C'!$H$45</f>
        <v>#N/A</v>
      </c>
    </row>
    <row r="56" spans="1:3" x14ac:dyDescent="0.35">
      <c r="A56" s="419" t="s">
        <v>730</v>
      </c>
      <c r="B56" s="426" t="e">
        <f>'CDS-C'!$H$46</f>
        <v>#N/A</v>
      </c>
    </row>
    <row r="57" spans="1:3" x14ac:dyDescent="0.35">
      <c r="A57" s="419" t="s">
        <v>729</v>
      </c>
      <c r="B57" s="426" t="e">
        <f>""&amp;'CDS-C'!$H$47</f>
        <v>#N/A</v>
      </c>
    </row>
    <row r="58" spans="1:3" x14ac:dyDescent="0.35">
      <c r="A58" s="419" t="s">
        <v>727</v>
      </c>
      <c r="B58" s="426" t="str" cm="1">
        <f t="array" ref="B58">_xlfn.IFS('CDS-C'!$G$60=1, 'CDS-C'!$F$60, 'CDS-C'!$G$60=2, 'CDS-C'!$F$61, 'CDS-C'!$G$60=3, 'CDS-C'!$F$62)</f>
        <v>Neither require nor recommend</v>
      </c>
    </row>
    <row r="59" spans="1:3" x14ac:dyDescent="0.35">
      <c r="A59" s="418" t="s">
        <v>1655</v>
      </c>
      <c r="B59" s="429" t="str">
        <f>'CDS-C'!$H$320</f>
        <v>Yes</v>
      </c>
    </row>
    <row r="60" spans="1:3" x14ac:dyDescent="0.35">
      <c r="A60" s="510" t="s">
        <v>1657</v>
      </c>
      <c r="B60" s="456" t="str" cm="1">
        <f t="array" aca="1" ref="B60" ca="1">IF(AND(ISNUMBER(CELL("contents",C60)),(C60&gt;0)),TEXT(C60,"MM/DD"),"")</f>
        <v/>
      </c>
      <c r="C60" s="514" t="str">
        <f>'CDS-C'!$D$322</f>
        <v xml:space="preserve"> </v>
      </c>
    </row>
    <row r="61" spans="1:3" x14ac:dyDescent="0.35">
      <c r="A61" s="510" t="s">
        <v>1658</v>
      </c>
      <c r="B61" s="456" t="str" cm="1">
        <f t="array" aca="1" ref="B61" ca="1">IF(AND(ISNUMBER(CELL("contents",C61)),(C61&gt;0)),TEXT(C61,"MM/DD"),"")</f>
        <v/>
      </c>
      <c r="C61" s="514" t="str">
        <f>'CDS-C'!$D$323</f>
        <v xml:space="preserve"> </v>
      </c>
    </row>
    <row r="62" spans="1:3" x14ac:dyDescent="0.35">
      <c r="A62" s="418" t="s">
        <v>1659</v>
      </c>
      <c r="B62" s="426" t="str">
        <f>'CDS-C'!$H$326</f>
        <v>No</v>
      </c>
    </row>
    <row r="63" spans="1:3" x14ac:dyDescent="0.35">
      <c r="A63" s="418" t="s">
        <v>1648</v>
      </c>
      <c r="B63" s="426">
        <f>'CDS-C'!$D$312</f>
        <v>0</v>
      </c>
    </row>
    <row r="64" spans="1:3" x14ac:dyDescent="0.35">
      <c r="A64" s="418" t="s">
        <v>1649</v>
      </c>
      <c r="B64" s="426">
        <f>'CDS-C'!$D$313</f>
        <v>0</v>
      </c>
    </row>
    <row r="65" spans="1:3" x14ac:dyDescent="0.35">
      <c r="A65" s="510" t="s">
        <v>1643</v>
      </c>
      <c r="B65" s="456" t="str" cm="1">
        <f t="array" aca="1" ref="B65" ca="1">IF(AND(ISNUMBER(CELL("contents",C65)),(C65&gt;0)),TEXT(C65,"MM/DD"),"")</f>
        <v/>
      </c>
      <c r="C65" s="513" t="str">
        <f>'CDS-C'!$C$280</f>
        <v xml:space="preserve"> </v>
      </c>
    </row>
    <row r="66" spans="1:3" x14ac:dyDescent="0.35">
      <c r="A66" s="418" t="s">
        <v>1644</v>
      </c>
      <c r="B66" s="433" t="str">
        <f>'CDS-C'!$C$281</f>
        <v xml:space="preserve"> </v>
      </c>
    </row>
    <row r="67" spans="1:3" x14ac:dyDescent="0.35">
      <c r="A67" s="418" t="s">
        <v>1645</v>
      </c>
      <c r="B67" s="426" t="e">
        <f>'CDS-C'!$H$285</f>
        <v>#N/A</v>
      </c>
    </row>
    <row r="68" spans="1:3" x14ac:dyDescent="0.35">
      <c r="A68" s="418" t="s">
        <v>1646</v>
      </c>
      <c r="B68" s="426" t="str">
        <f>'CDS-C'!$H$291</f>
        <v>Yes</v>
      </c>
    </row>
    <row r="69" spans="1:3" x14ac:dyDescent="0.35">
      <c r="A69" s="418" t="s">
        <v>1647</v>
      </c>
      <c r="B69" s="429" t="str">
        <f>'CDS-C'!$H$296</f>
        <v>No</v>
      </c>
    </row>
    <row r="70" spans="1:3" x14ac:dyDescent="0.35">
      <c r="A70" s="418" t="s">
        <v>1650</v>
      </c>
      <c r="B70" s="426" t="str">
        <f>'CDS-C'!$H$304</f>
        <v>No</v>
      </c>
    </row>
    <row r="71" spans="1:3" x14ac:dyDescent="0.35">
      <c r="A71" s="510" t="s">
        <v>1651</v>
      </c>
      <c r="B71" s="456" t="str" cm="1">
        <f t="array" aca="1" ref="B71" ca="1">IF(AND(ISNUMBER(CELL("contents",C71)),(C71&gt;0)),TEXT(C71,"MM/DD"),"")</f>
        <v/>
      </c>
      <c r="C71" s="512" t="str">
        <f>'CDS-C'!$D$306</f>
        <v xml:space="preserve"> </v>
      </c>
    </row>
    <row r="72" spans="1:3" x14ac:dyDescent="0.35">
      <c r="A72" s="510" t="s">
        <v>1652</v>
      </c>
      <c r="B72" s="456" t="str" cm="1">
        <f t="array" aca="1" ref="B72" ca="1">IF(AND(ISNUMBER(CELL("contents",C72)),(C72&gt;0)),TEXT(C72,"MM/DD"),"")</f>
        <v/>
      </c>
      <c r="C72" s="512" t="str">
        <f>'CDS-C'!$D$307</f>
        <v xml:space="preserve"> </v>
      </c>
    </row>
    <row r="73" spans="1:3" x14ac:dyDescent="0.35">
      <c r="A73" s="510" t="s">
        <v>1653</v>
      </c>
      <c r="B73" s="456" t="str" cm="1">
        <f t="array" aca="1" ref="B73" ca="1">IF(AND(ISNUMBER(CELL("contents",C73)),(C73&gt;0)),TEXT(C73,"MM/DD"),"")</f>
        <v/>
      </c>
      <c r="C73" s="512" t="str">
        <f>'CDS-C'!$D$308</f>
        <v xml:space="preserve"> </v>
      </c>
    </row>
    <row r="74" spans="1:3" x14ac:dyDescent="0.35">
      <c r="A74" s="510" t="s">
        <v>1654</v>
      </c>
      <c r="B74" s="456" t="str" cm="1">
        <f t="array" aca="1" ref="B74" ca="1">IF(AND(ISNUMBER(CELL("contents",C74)),(C74&gt;0)),TEXT(C74,"MM/DD"),"")</f>
        <v/>
      </c>
      <c r="C74" s="512" t="str">
        <f>'CDS-C'!$D$309</f>
        <v xml:space="preserve"> </v>
      </c>
    </row>
    <row r="75" spans="1:3" x14ac:dyDescent="0.35">
      <c r="A75" s="418" t="s">
        <v>1656</v>
      </c>
      <c r="B75" s="429" t="str">
        <f>""&amp;'CDS-C'!$B$315</f>
        <v/>
      </c>
    </row>
    <row r="76" spans="1:3" x14ac:dyDescent="0.35">
      <c r="A76" s="67" t="s">
        <v>1275</v>
      </c>
      <c r="B76" s="418" t="str">
        <f>'CDS-D'!$K$86</f>
        <v/>
      </c>
    </row>
    <row r="77" spans="1:3" x14ac:dyDescent="0.35">
      <c r="A77" s="67" t="s">
        <v>1267</v>
      </c>
      <c r="B77" s="418" t="str">
        <f>'CDS-D'!$E$87</f>
        <v xml:space="preserve"> </v>
      </c>
    </row>
    <row r="78" spans="1:3" x14ac:dyDescent="0.35">
      <c r="A78" s="67" t="s">
        <v>1268</v>
      </c>
      <c r="B78" s="418" t="str">
        <f>'CDS-D'!$F$87</f>
        <v xml:space="preserve"> </v>
      </c>
    </row>
    <row r="79" spans="1:3" x14ac:dyDescent="0.35">
      <c r="A79" s="67" t="s">
        <v>1269</v>
      </c>
      <c r="B79" s="418" t="str">
        <f>'CDS-D'!$E$92</f>
        <v xml:space="preserve"> </v>
      </c>
    </row>
    <row r="80" spans="1:3" x14ac:dyDescent="0.35">
      <c r="A80" s="67" t="s">
        <v>1270</v>
      </c>
      <c r="B80" s="418" t="str">
        <f>'CDS-D'!$F$92</f>
        <v xml:space="preserve"> </v>
      </c>
    </row>
    <row r="81" spans="1:2" x14ac:dyDescent="0.35">
      <c r="A81" s="67" t="s">
        <v>1271</v>
      </c>
      <c r="B81" s="434" t="e">
        <f>'CDS-D'!$K$98</f>
        <v>#N/A</v>
      </c>
    </row>
    <row r="82" spans="1:2" x14ac:dyDescent="0.35">
      <c r="A82" s="67" t="s">
        <v>1272</v>
      </c>
      <c r="B82" s="435" t="str">
        <f>'CDS-D'!$B$102</f>
        <v xml:space="preserve"> </v>
      </c>
    </row>
    <row r="83" spans="1:2" x14ac:dyDescent="0.35">
      <c r="A83" s="67" t="s">
        <v>1273</v>
      </c>
      <c r="B83" s="418" t="str">
        <f>'CDS-D'!$B$105</f>
        <v xml:space="preserve"> </v>
      </c>
    </row>
    <row r="84" spans="1:2" x14ac:dyDescent="0.35">
      <c r="A84" s="67" t="s">
        <v>1258</v>
      </c>
      <c r="B84" s="436" t="str">
        <f>'CDS-D'!$K$55</f>
        <v>No</v>
      </c>
    </row>
    <row r="85" spans="1:2" x14ac:dyDescent="0.35">
      <c r="A85" s="67" t="s">
        <v>1668</v>
      </c>
      <c r="B85" s="436" t="str">
        <f>""&amp;'CDS-D'!$B$58</f>
        <v/>
      </c>
    </row>
    <row r="86" spans="1:2" x14ac:dyDescent="0.35">
      <c r="A86" s="67" t="s">
        <v>1259</v>
      </c>
      <c r="B86" s="437" t="str">
        <f>'CDS-D'!$D$61</f>
        <v xml:space="preserve"> </v>
      </c>
    </row>
    <row r="87" spans="1:2" x14ac:dyDescent="0.35">
      <c r="A87" s="67" t="s">
        <v>1260</v>
      </c>
      <c r="B87" s="418">
        <f>'CDS-D'!$E$64</f>
        <v>60</v>
      </c>
    </row>
    <row r="88" spans="1:2" x14ac:dyDescent="0.35">
      <c r="A88" s="67" t="s">
        <v>1261</v>
      </c>
      <c r="B88" s="418" t="str">
        <f>'CDS-D'!$F$64</f>
        <v>Credit hour</v>
      </c>
    </row>
    <row r="89" spans="1:2" x14ac:dyDescent="0.35">
      <c r="A89" s="67" t="s">
        <v>1262</v>
      </c>
      <c r="B89" s="418">
        <f>'CDS-D'!$E$67</f>
        <v>60</v>
      </c>
    </row>
    <row r="90" spans="1:2" x14ac:dyDescent="0.35">
      <c r="A90" s="67" t="s">
        <v>1263</v>
      </c>
      <c r="B90" s="418" t="str">
        <f>'CDS-D'!$F$67</f>
        <v>Credut hour</v>
      </c>
    </row>
    <row r="91" spans="1:2" x14ac:dyDescent="0.35">
      <c r="A91" s="67" t="s">
        <v>1264</v>
      </c>
      <c r="B91" s="438" t="str">
        <f>'CDS-D'!$E$70</f>
        <v xml:space="preserve"> </v>
      </c>
    </row>
    <row r="92" spans="1:2" x14ac:dyDescent="0.35">
      <c r="A92" s="67" t="s">
        <v>1265</v>
      </c>
      <c r="B92" s="438">
        <f>'CDS-D'!$E$73</f>
        <v>64</v>
      </c>
    </row>
    <row r="93" spans="1:2" x14ac:dyDescent="0.35">
      <c r="A93" s="67" t="s">
        <v>1266</v>
      </c>
      <c r="B93" s="418" t="str">
        <f>""&amp;'CDS-D'!$B$76</f>
        <v/>
      </c>
    </row>
    <row r="94" spans="1:2" x14ac:dyDescent="0.35">
      <c r="A94" s="67" t="s">
        <v>1227</v>
      </c>
      <c r="B94" s="435" t="str">
        <f>_xlfn.CONCAT('CDS-D'!$K$20, 'CDS-D'!$K$21, 'CDS-D'!$K$22, 'CDS-D'!$K$23)</f>
        <v>Fall|Spring|</v>
      </c>
    </row>
    <row r="95" spans="1:2" x14ac:dyDescent="0.35">
      <c r="A95" s="67" t="s">
        <v>1228</v>
      </c>
      <c r="B95" s="418" t="str">
        <f>'CDS-D'!$K$25</f>
        <v>No</v>
      </c>
    </row>
    <row r="96" spans="1:2" x14ac:dyDescent="0.35">
      <c r="A96" s="67" t="s">
        <v>1229</v>
      </c>
      <c r="B96" s="436">
        <f>'CDS-D'!$E$26</f>
        <v>0</v>
      </c>
    </row>
    <row r="97" spans="1:3" x14ac:dyDescent="0.35">
      <c r="A97" s="67" t="s">
        <v>1230</v>
      </c>
      <c r="B97" s="418" t="str">
        <f>'CDS-D'!$K$31</f>
        <v>Required of Some</v>
      </c>
    </row>
    <row r="98" spans="1:3" x14ac:dyDescent="0.35">
      <c r="A98" s="67" t="s">
        <v>1231</v>
      </c>
      <c r="B98" s="418" t="str">
        <f>'CDS-D'!$K$32</f>
        <v>Required of All</v>
      </c>
    </row>
    <row r="99" spans="1:3" x14ac:dyDescent="0.35">
      <c r="A99" s="67" t="s">
        <v>1232</v>
      </c>
      <c r="B99" s="418" t="str">
        <f>'CDS-D'!$K$33</f>
        <v>Required of All</v>
      </c>
    </row>
    <row r="100" spans="1:3" x14ac:dyDescent="0.35">
      <c r="A100" s="67" t="s">
        <v>1233</v>
      </c>
      <c r="B100" s="418" t="str">
        <f>'CDS-D'!$K$34</f>
        <v>Recommended of All</v>
      </c>
    </row>
    <row r="101" spans="1:3" x14ac:dyDescent="0.35">
      <c r="A101" s="67" t="s">
        <v>1234</v>
      </c>
      <c r="B101" s="418" t="str">
        <f>'CDS-D'!$K$35</f>
        <v>Required of Some</v>
      </c>
    </row>
    <row r="102" spans="1:3" x14ac:dyDescent="0.35">
      <c r="A102" s="67" t="s">
        <v>1235</v>
      </c>
      <c r="B102" s="418" t="str">
        <f>'CDS-D'!$K$36</f>
        <v>Required of All</v>
      </c>
    </row>
    <row r="103" spans="1:3" x14ac:dyDescent="0.35">
      <c r="A103" s="67" t="s">
        <v>1236</v>
      </c>
      <c r="B103" s="418">
        <f>'CDS-D'!$E$38</f>
        <v>0</v>
      </c>
    </row>
    <row r="104" spans="1:3" x14ac:dyDescent="0.35">
      <c r="A104" s="67" t="s">
        <v>1237</v>
      </c>
      <c r="B104" s="436">
        <f>'CDS-D'!$E$40</f>
        <v>0</v>
      </c>
    </row>
    <row r="105" spans="1:3" x14ac:dyDescent="0.35">
      <c r="A105" s="67" t="s">
        <v>1692</v>
      </c>
      <c r="B105" s="439" t="str">
        <f>'CDS-D'!$B$43</f>
        <v xml:space="preserve"> </v>
      </c>
    </row>
    <row r="106" spans="1:3" x14ac:dyDescent="0.35">
      <c r="A106" s="515" t="s">
        <v>1238</v>
      </c>
      <c r="B106" s="456" t="str" cm="1">
        <f t="array" aca="1" ref="B106" ca="1">IF(AND(ISNUMBER(CELL("contents",C106)),(C106&gt;0)),TEXT(C106,"MM/DD"),"")</f>
        <v>06/01</v>
      </c>
      <c r="C106" s="516">
        <f>'CDS-D'!$C$47</f>
        <v>45078</v>
      </c>
    </row>
    <row r="107" spans="1:3" x14ac:dyDescent="0.35">
      <c r="A107" s="515" t="s">
        <v>1239</v>
      </c>
      <c r="B107" s="456" t="str" cm="1">
        <f t="array" aca="1" ref="B107" ca="1">IF(AND(ISNUMBER(CELL("contents",C107)),(C107&gt;0)),TEXT(C107,"MM/DD"),"")</f>
        <v>06/01</v>
      </c>
      <c r="C107" s="516">
        <f>'CDS-D'!$D$47</f>
        <v>45078</v>
      </c>
    </row>
    <row r="108" spans="1:3" x14ac:dyDescent="0.35">
      <c r="A108" s="515" t="s">
        <v>1240</v>
      </c>
      <c r="B108" s="456" t="str" cm="1">
        <f t="array" aca="1" ref="B108" ca="1">IF(AND(ISNUMBER(CELL("contents",C108)),(C108&gt;0)),TEXT(C108,"MM/DD"),"")</f>
        <v>06/04</v>
      </c>
      <c r="C108" s="516">
        <f>'CDS-D'!$E$47</f>
        <v>45081</v>
      </c>
    </row>
    <row r="109" spans="1:3" x14ac:dyDescent="0.35">
      <c r="A109" s="515" t="s">
        <v>1241</v>
      </c>
      <c r="B109" s="456" t="str" cm="1">
        <f t="array" aca="1" ref="B109" ca="1">IF(AND(ISNUMBER(CELL("contents",C109)),(C109&gt;0)),TEXT(C109,"MM/DD"),"")</f>
        <v>06/15</v>
      </c>
      <c r="C109" s="516">
        <f>'CDS-D'!$F$47</f>
        <v>45092</v>
      </c>
    </row>
    <row r="110" spans="1:3" x14ac:dyDescent="0.35">
      <c r="A110" s="67" t="s">
        <v>1242</v>
      </c>
      <c r="B110" s="440" t="str" cm="1">
        <f t="array" ref="B110">_xlfn.IFS('CDS-D'!$H$46=TRUE, "Rolling Admission", 'CDS-D'!$H$46=FALSE, "")</f>
        <v/>
      </c>
    </row>
    <row r="111" spans="1:3" x14ac:dyDescent="0.35">
      <c r="A111" s="515" t="s">
        <v>1243</v>
      </c>
      <c r="B111" s="456" t="str" cm="1">
        <f t="array" aca="1" ref="B111" ca="1">IF(AND(ISNUMBER(CELL("contents",C111)),(C111&gt;0)),TEXT(C111,"MM/DD"),"")</f>
        <v/>
      </c>
      <c r="C111" s="516" t="str">
        <f>'CDS-D'!$C$48</f>
        <v xml:space="preserve"> </v>
      </c>
    </row>
    <row r="112" spans="1:3" x14ac:dyDescent="0.35">
      <c r="A112" s="515" t="s">
        <v>1244</v>
      </c>
      <c r="B112" s="456" t="str" cm="1">
        <f t="array" aca="1" ref="B112" ca="1">IF(AND(ISNUMBER(CELL("contents",C112)),(C112&gt;0)),TEXT(C112,"MM/DD"),"")</f>
        <v/>
      </c>
      <c r="C112" s="516" t="str">
        <f>'CDS-D'!$D$48</f>
        <v xml:space="preserve"> </v>
      </c>
    </row>
    <row r="113" spans="1:3" x14ac:dyDescent="0.35">
      <c r="A113" s="515" t="s">
        <v>1245</v>
      </c>
      <c r="B113" s="456" t="str" cm="1">
        <f t="array" aca="1" ref="B113" ca="1">IF(AND(ISNUMBER(CELL("contents",C113)),(C113&gt;0)),TEXT(C113,"MM/DD"),"")</f>
        <v/>
      </c>
      <c r="C113" s="516" t="str">
        <f>'CDS-D'!$E$48</f>
        <v xml:space="preserve"> </v>
      </c>
    </row>
    <row r="114" spans="1:3" x14ac:dyDescent="0.35">
      <c r="A114" s="515" t="s">
        <v>1246</v>
      </c>
      <c r="B114" s="456" t="str" cm="1">
        <f t="array" aca="1" ref="B114" ca="1">IF(AND(ISNUMBER(CELL("contents",C114)),(C114&gt;0)),TEXT(C114,"MM/DD"),"")</f>
        <v/>
      </c>
      <c r="C114" s="516" t="str">
        <f>'CDS-D'!$F$48</f>
        <v xml:space="preserve"> </v>
      </c>
    </row>
    <row r="115" spans="1:3" x14ac:dyDescent="0.35">
      <c r="A115" s="67" t="s">
        <v>1247</v>
      </c>
      <c r="B115" s="440" t="str" cm="1">
        <f t="array" ref="B115">_xlfn.IFS('CDS-D'!$I$46=TRUE, "Rolling Admission", 'CDS-D'!$I$46=FALSE, "")</f>
        <v/>
      </c>
    </row>
    <row r="116" spans="1:3" x14ac:dyDescent="0.35">
      <c r="A116" s="67" t="s">
        <v>1252</v>
      </c>
      <c r="B116" s="440" t="str" cm="1">
        <f t="array" ref="B116">_xlfn.IFS('CDS-D'!$J$46=TRUE, "Rolling Admission", 'CDS-D'!$J$46=FALSE, "")</f>
        <v/>
      </c>
    </row>
    <row r="117" spans="1:3" x14ac:dyDescent="0.35">
      <c r="A117" s="67" t="s">
        <v>1257</v>
      </c>
      <c r="B117" s="440" t="str" cm="1">
        <f t="array" ref="B117">_xlfn.IFS('CDS-D'!$K$46=TRUE, "Rolling Admission", 'CDS-D'!$K$46=FALSE, "")</f>
        <v/>
      </c>
    </row>
    <row r="118" spans="1:3" x14ac:dyDescent="0.35">
      <c r="A118" s="515" t="s">
        <v>1248</v>
      </c>
      <c r="B118" s="456" t="str" cm="1">
        <f t="array" aca="1" ref="B118" ca="1">IF(AND(ISNUMBER(CELL("contents",C118)),(C118&gt;0)),TEXT(C118,"MM/DD"),"")</f>
        <v>12/15</v>
      </c>
      <c r="C118" s="516">
        <f>'CDS-D'!$C$49</f>
        <v>45275</v>
      </c>
    </row>
    <row r="119" spans="1:3" x14ac:dyDescent="0.35">
      <c r="A119" s="515" t="s">
        <v>1253</v>
      </c>
      <c r="B119" s="456" t="str" cm="1">
        <f t="array" aca="1" ref="B119" ca="1">IF(AND(ISNUMBER(CELL("contents",C119)),(C119&gt;0)),TEXT(C119,"MM/DD"),"")</f>
        <v/>
      </c>
      <c r="C119" s="516" t="str">
        <f>'CDS-D'!$C$50</f>
        <v xml:space="preserve"> </v>
      </c>
    </row>
    <row r="120" spans="1:3" x14ac:dyDescent="0.35">
      <c r="A120" s="515" t="s">
        <v>1249</v>
      </c>
      <c r="B120" s="456" t="str" cm="1">
        <f t="array" aca="1" ref="B120" ca="1">IF(AND(ISNUMBER(CELL("contents",C120)),(C120&gt;0)),TEXT(C120,"MM/DD"),"")</f>
        <v>12/15</v>
      </c>
      <c r="C120" s="516">
        <f>'CDS-D'!$D$49</f>
        <v>45275</v>
      </c>
    </row>
    <row r="121" spans="1:3" x14ac:dyDescent="0.35">
      <c r="A121" s="515" t="s">
        <v>1254</v>
      </c>
      <c r="B121" s="456" t="str" cm="1">
        <f t="array" aca="1" ref="B121" ca="1">IF(AND(ISNUMBER(CELL("contents",C121)),(C121&gt;0)),TEXT(C121,"MM/DD"),"")</f>
        <v/>
      </c>
      <c r="C121" s="516" t="str">
        <f>'CDS-D'!$D$50</f>
        <v xml:space="preserve"> </v>
      </c>
    </row>
    <row r="122" spans="1:3" x14ac:dyDescent="0.35">
      <c r="A122" s="515" t="s">
        <v>1250</v>
      </c>
      <c r="B122" s="456" t="str" cm="1">
        <f t="array" aca="1" ref="B122" ca="1">IF(AND(ISNUMBER(CELL("contents",C122)),(C122&gt;0)),TEXT(C122,"MM/DD"),"")</f>
        <v>12/18</v>
      </c>
      <c r="C122" s="516">
        <f>'CDS-D'!$E$49</f>
        <v>45278</v>
      </c>
    </row>
    <row r="123" spans="1:3" x14ac:dyDescent="0.35">
      <c r="A123" s="515" t="s">
        <v>1255</v>
      </c>
      <c r="B123" s="456" t="str" cm="1">
        <f t="array" aca="1" ref="B123" ca="1">IF(AND(ISNUMBER(CELL("contents",C123)),(C123&gt;0)),TEXT(C123,"MM/DD"),"")</f>
        <v/>
      </c>
      <c r="C123" s="516" t="str">
        <f>'CDS-D'!$E$50</f>
        <v xml:space="preserve"> </v>
      </c>
    </row>
    <row r="124" spans="1:3" x14ac:dyDescent="0.35">
      <c r="A124" s="515" t="s">
        <v>1251</v>
      </c>
      <c r="B124" s="456" t="str" cm="1">
        <f t="array" aca="1" ref="B124" ca="1">IF(AND(ISNUMBER(CELL("contents",C124)),(C124&gt;0)),TEXT(C124,"MM/DD"),"")</f>
        <v>01/01</v>
      </c>
      <c r="C124" s="516">
        <f>'CDS-D'!$F$49</f>
        <v>44927</v>
      </c>
    </row>
    <row r="125" spans="1:3" x14ac:dyDescent="0.35">
      <c r="A125" s="515" t="s">
        <v>1256</v>
      </c>
      <c r="B125" s="456" t="str" cm="1">
        <f t="array" aca="1" ref="B125" ca="1">IF(AND(ISNUMBER(CELL("contents",C125)),(C125&gt;0)),TEXT(C125,"MM/DD"),"")</f>
        <v/>
      </c>
      <c r="C125" s="516" t="str">
        <f>'CDS-D'!$F$50</f>
        <v xml:space="preserve"> </v>
      </c>
    </row>
    <row r="126" spans="1:3" x14ac:dyDescent="0.35">
      <c r="A126" s="420" t="s">
        <v>685</v>
      </c>
      <c r="B126" s="441">
        <f>'CDS-F'!$E$12</f>
        <v>18.77</v>
      </c>
    </row>
    <row r="127" spans="1:3" x14ac:dyDescent="0.35">
      <c r="A127" s="420" t="s">
        <v>687</v>
      </c>
      <c r="B127" s="441">
        <f>'CDS-F'!$E$11</f>
        <v>18.77</v>
      </c>
    </row>
    <row r="128" spans="1:3" x14ac:dyDescent="0.35">
      <c r="A128" s="421" t="s">
        <v>699</v>
      </c>
      <c r="B128" s="441">
        <f>'CDS-F'!$E$5</f>
        <v>62.07</v>
      </c>
    </row>
    <row r="129" spans="1:2" x14ac:dyDescent="0.35">
      <c r="A129" s="421" t="s">
        <v>697</v>
      </c>
      <c r="B129" s="441">
        <f>'CDS-F'!$E$6</f>
        <v>0</v>
      </c>
    </row>
    <row r="130" spans="1:2" x14ac:dyDescent="0.35">
      <c r="A130" s="420" t="s">
        <v>695</v>
      </c>
      <c r="B130" s="441">
        <f>'CDS-F'!$E$7</f>
        <v>0</v>
      </c>
    </row>
    <row r="131" spans="1:2" x14ac:dyDescent="0.35">
      <c r="A131" s="420" t="s">
        <v>693</v>
      </c>
      <c r="B131" s="441">
        <f>'CDS-F'!$E$8</f>
        <v>88.4</v>
      </c>
    </row>
    <row r="132" spans="1:2" x14ac:dyDescent="0.35">
      <c r="A132" s="420" t="s">
        <v>691</v>
      </c>
      <c r="B132" s="441">
        <f>'CDS-F'!$E$9</f>
        <v>9.8000000000000007</v>
      </c>
    </row>
    <row r="133" spans="1:2" x14ac:dyDescent="0.35">
      <c r="A133" s="421" t="s">
        <v>689</v>
      </c>
      <c r="B133" s="441">
        <f>'CDS-F'!$E$10</f>
        <v>0.57999999999999996</v>
      </c>
    </row>
    <row r="134" spans="1:2" x14ac:dyDescent="0.35">
      <c r="A134" s="420" t="s">
        <v>686</v>
      </c>
      <c r="B134" s="441">
        <f>'CDS-F'!$F$11</f>
        <v>20.22</v>
      </c>
    </row>
    <row r="135" spans="1:2" x14ac:dyDescent="0.35">
      <c r="A135" s="420" t="s">
        <v>684</v>
      </c>
      <c r="B135" s="441">
        <f>'CDS-F'!$F$12</f>
        <v>20.22</v>
      </c>
    </row>
    <row r="136" spans="1:2" x14ac:dyDescent="0.35">
      <c r="A136" s="420" t="s">
        <v>698</v>
      </c>
      <c r="B136" s="441">
        <f>'CDS-F'!$F$5</f>
        <v>72.989999999999995</v>
      </c>
    </row>
    <row r="137" spans="1:2" x14ac:dyDescent="0.35">
      <c r="A137" s="420" t="s">
        <v>696</v>
      </c>
      <c r="B137" s="441">
        <f>'CDS-F'!$F$6</f>
        <v>0</v>
      </c>
    </row>
    <row r="138" spans="1:2" x14ac:dyDescent="0.35">
      <c r="A138" s="420" t="s">
        <v>694</v>
      </c>
      <c r="B138" s="441">
        <f>'CDS-F'!$F$7</f>
        <v>0</v>
      </c>
    </row>
    <row r="139" spans="1:2" x14ac:dyDescent="0.35">
      <c r="A139" s="420" t="s">
        <v>692</v>
      </c>
      <c r="B139" s="441">
        <f>'CDS-F'!$F$8</f>
        <v>89.9</v>
      </c>
    </row>
    <row r="140" spans="1:2" x14ac:dyDescent="0.35">
      <c r="A140" s="420" t="s">
        <v>690</v>
      </c>
      <c r="B140" s="441">
        <f>'CDS-F'!$F$9</f>
        <v>5.4</v>
      </c>
    </row>
    <row r="141" spans="1:2" x14ac:dyDescent="0.35">
      <c r="A141" s="420" t="s">
        <v>688</v>
      </c>
      <c r="B141" s="441">
        <f>'CDS-F'!$F$10</f>
        <v>1.02</v>
      </c>
    </row>
    <row r="142" spans="1:2" x14ac:dyDescent="0.35">
      <c r="A142" s="421" t="s">
        <v>679</v>
      </c>
      <c r="B142" s="421" t="str">
        <f>_xlfn.CONCAT('CDS-F'!$L$46:$L$58)</f>
        <v>Coed residence halls|Apartments for single students|Special housing for disabled students|Living Learning Communities|Theme housing|Wellness housing (alcohol/drug/smoke-free)|</v>
      </c>
    </row>
    <row r="143" spans="1:2" x14ac:dyDescent="0.35">
      <c r="A143" s="421" t="s">
        <v>683</v>
      </c>
      <c r="B143" s="421" t="str">
        <f>_xlfn.CONCAT('CDS-F'!$L$16:$L$36)</f>
        <v>Campus ministries|Choral groups|Concert band|Dance|Drama/Theater|International student organization|Jazz band|Literary magazine|Model UN|Music ensembles|Musical theater|Radio station|Student government|Student newspaper|</v>
      </c>
    </row>
    <row r="144" spans="1:2" x14ac:dyDescent="0.35">
      <c r="A144" s="421" t="s">
        <v>682</v>
      </c>
      <c r="B144" s="421" t="str">
        <f>_xlfn.CONCAT('CDS-F'!$K$40:$L$40)</f>
        <v/>
      </c>
    </row>
    <row r="145" spans="1:2" x14ac:dyDescent="0.35">
      <c r="A145" s="421" t="s">
        <v>681</v>
      </c>
      <c r="B145" s="421" t="str">
        <f>_xlfn.CONCAT('CDS-F'!$K$41:$M$41)</f>
        <v/>
      </c>
    </row>
    <row r="146" spans="1:2" x14ac:dyDescent="0.35">
      <c r="A146" s="421" t="s">
        <v>680</v>
      </c>
      <c r="B146" s="421" t="str">
        <f>_xlfn.CONCAT('CDS-F'!$K$42:$L$42)</f>
        <v/>
      </c>
    </row>
    <row r="147" spans="1:2" x14ac:dyDescent="0.35">
      <c r="A147" s="67" t="s">
        <v>987</v>
      </c>
      <c r="B147" s="68">
        <f>'CDS-J'!$D$6</f>
        <v>0</v>
      </c>
    </row>
    <row r="148" spans="1:2" x14ac:dyDescent="0.35">
      <c r="A148" s="67" t="s">
        <v>988</v>
      </c>
      <c r="B148" s="68">
        <f>'CDS-J'!$D$7</f>
        <v>0</v>
      </c>
    </row>
    <row r="149" spans="1:2" x14ac:dyDescent="0.35">
      <c r="A149" s="67" t="s">
        <v>989</v>
      </c>
      <c r="B149" s="68">
        <f>'CDS-J'!$D$8</f>
        <v>0</v>
      </c>
    </row>
    <row r="150" spans="1:2" x14ac:dyDescent="0.35">
      <c r="A150" s="67" t="s">
        <v>990</v>
      </c>
      <c r="B150" s="68">
        <f>'CDS-J'!$D$9</f>
        <v>0</v>
      </c>
    </row>
    <row r="151" spans="1:2" x14ac:dyDescent="0.35">
      <c r="A151" s="67" t="s">
        <v>991</v>
      </c>
      <c r="B151" s="68">
        <f>'CDS-J'!$D$10</f>
        <v>0</v>
      </c>
    </row>
    <row r="152" spans="1:2" x14ac:dyDescent="0.35">
      <c r="A152" s="67" t="s">
        <v>992</v>
      </c>
      <c r="B152" s="68">
        <f>'CDS-J'!$D$11</f>
        <v>0</v>
      </c>
    </row>
    <row r="153" spans="1:2" x14ac:dyDescent="0.35">
      <c r="A153" s="67" t="s">
        <v>993</v>
      </c>
      <c r="B153" s="68">
        <f>'CDS-J'!$D$12</f>
        <v>0</v>
      </c>
    </row>
    <row r="154" spans="1:2" x14ac:dyDescent="0.35">
      <c r="A154" s="67" t="s">
        <v>994</v>
      </c>
      <c r="B154" s="68">
        <f>'CDS-J'!$D$13</f>
        <v>0</v>
      </c>
    </row>
    <row r="155" spans="1:2" x14ac:dyDescent="0.35">
      <c r="A155" s="67" t="s">
        <v>995</v>
      </c>
      <c r="B155" s="68">
        <f>'CDS-J'!$D$14</f>
        <v>0</v>
      </c>
    </row>
    <row r="156" spans="1:2" x14ac:dyDescent="0.35">
      <c r="A156" s="67" t="s">
        <v>996</v>
      </c>
      <c r="B156" s="68">
        <f>'CDS-J'!$D$15</f>
        <v>0</v>
      </c>
    </row>
    <row r="157" spans="1:2" x14ac:dyDescent="0.35">
      <c r="A157" s="67" t="s">
        <v>997</v>
      </c>
      <c r="B157" s="68">
        <f>'CDS-J'!$D$16</f>
        <v>0</v>
      </c>
    </row>
    <row r="158" spans="1:2" x14ac:dyDescent="0.35">
      <c r="A158" s="67" t="s">
        <v>998</v>
      </c>
      <c r="B158" s="68">
        <f>'CDS-J'!$D$17</f>
        <v>0</v>
      </c>
    </row>
    <row r="159" spans="1:2" x14ac:dyDescent="0.35">
      <c r="A159" s="67" t="s">
        <v>999</v>
      </c>
      <c r="B159" s="68">
        <f>'CDS-J'!$D$18</f>
        <v>0</v>
      </c>
    </row>
    <row r="160" spans="1:2" x14ac:dyDescent="0.35">
      <c r="A160" s="67" t="s">
        <v>1000</v>
      </c>
      <c r="B160" s="68">
        <f>'CDS-J'!$D$19</f>
        <v>0</v>
      </c>
    </row>
    <row r="161" spans="1:2" x14ac:dyDescent="0.35">
      <c r="A161" s="67" t="s">
        <v>1001</v>
      </c>
      <c r="B161" s="68">
        <f>'CDS-J'!$D$20</f>
        <v>0</v>
      </c>
    </row>
    <row r="162" spans="1:2" x14ac:dyDescent="0.35">
      <c r="A162" s="67" t="s">
        <v>1002</v>
      </c>
      <c r="B162" s="68">
        <f>'CDS-J'!$D$21</f>
        <v>0</v>
      </c>
    </row>
    <row r="163" spans="1:2" x14ac:dyDescent="0.35">
      <c r="A163" s="67" t="s">
        <v>1003</v>
      </c>
      <c r="B163" s="68">
        <f>'CDS-J'!$D$22</f>
        <v>0</v>
      </c>
    </row>
    <row r="164" spans="1:2" x14ac:dyDescent="0.35">
      <c r="A164" s="67" t="s">
        <v>1004</v>
      </c>
      <c r="B164" s="68">
        <f>'CDS-J'!$D$23</f>
        <v>0</v>
      </c>
    </row>
    <row r="165" spans="1:2" x14ac:dyDescent="0.35">
      <c r="A165" s="67" t="s">
        <v>1005</v>
      </c>
      <c r="B165" s="68">
        <f>'CDS-J'!$D$24</f>
        <v>0</v>
      </c>
    </row>
    <row r="166" spans="1:2" x14ac:dyDescent="0.35">
      <c r="A166" s="67" t="s">
        <v>1006</v>
      </c>
      <c r="B166" s="68">
        <f>'CDS-J'!$D$25</f>
        <v>0</v>
      </c>
    </row>
    <row r="167" spans="1:2" x14ac:dyDescent="0.35">
      <c r="A167" s="67" t="s">
        <v>1007</v>
      </c>
      <c r="B167" s="68">
        <f>'CDS-J'!$D$26</f>
        <v>0</v>
      </c>
    </row>
    <row r="168" spans="1:2" x14ac:dyDescent="0.35">
      <c r="A168" s="67" t="s">
        <v>1008</v>
      </c>
      <c r="B168" s="68">
        <f>'CDS-J'!$D$27</f>
        <v>0</v>
      </c>
    </row>
    <row r="169" spans="1:2" x14ac:dyDescent="0.35">
      <c r="A169" s="67" t="s">
        <v>1009</v>
      </c>
      <c r="B169" s="68">
        <f>'CDS-J'!$D$28</f>
        <v>0</v>
      </c>
    </row>
    <row r="170" spans="1:2" x14ac:dyDescent="0.35">
      <c r="A170" s="67" t="s">
        <v>1010</v>
      </c>
      <c r="B170" s="68">
        <f>'CDS-J'!$D$29</f>
        <v>0</v>
      </c>
    </row>
    <row r="171" spans="1:2" x14ac:dyDescent="0.35">
      <c r="A171" s="67" t="s">
        <v>1011</v>
      </c>
      <c r="B171" s="68">
        <f>'CDS-J'!$D$30</f>
        <v>0</v>
      </c>
    </row>
    <row r="172" spans="1:2" x14ac:dyDescent="0.35">
      <c r="A172" s="67" t="s">
        <v>1012</v>
      </c>
      <c r="B172" s="68">
        <f>'CDS-J'!$D$31</f>
        <v>0</v>
      </c>
    </row>
    <row r="173" spans="1:2" x14ac:dyDescent="0.35">
      <c r="A173" s="67" t="s">
        <v>1013</v>
      </c>
      <c r="B173" s="68">
        <f>'CDS-J'!$D$32</f>
        <v>0</v>
      </c>
    </row>
    <row r="174" spans="1:2" x14ac:dyDescent="0.35">
      <c r="A174" s="67" t="s">
        <v>1014</v>
      </c>
      <c r="B174" s="68">
        <f>'CDS-J'!$D$33</f>
        <v>0</v>
      </c>
    </row>
    <row r="175" spans="1:2" x14ac:dyDescent="0.35">
      <c r="A175" s="67" t="s">
        <v>1015</v>
      </c>
      <c r="B175" s="68">
        <f>'CDS-J'!$D$34</f>
        <v>0</v>
      </c>
    </row>
    <row r="176" spans="1:2" x14ac:dyDescent="0.35">
      <c r="A176" s="67" t="s">
        <v>1016</v>
      </c>
      <c r="B176" s="68">
        <f>'CDS-J'!$D$35</f>
        <v>0</v>
      </c>
    </row>
    <row r="177" spans="1:2" x14ac:dyDescent="0.35">
      <c r="A177" s="67" t="s">
        <v>1017</v>
      </c>
      <c r="B177" s="68">
        <f>'CDS-J'!$D$36</f>
        <v>0</v>
      </c>
    </row>
    <row r="178" spans="1:2" x14ac:dyDescent="0.35">
      <c r="A178" s="67" t="s">
        <v>1018</v>
      </c>
      <c r="B178" s="68">
        <f>'CDS-J'!$D$37</f>
        <v>0</v>
      </c>
    </row>
    <row r="179" spans="1:2" x14ac:dyDescent="0.35">
      <c r="A179" s="67" t="s">
        <v>1019</v>
      </c>
      <c r="B179" s="68">
        <f>'CDS-J'!$D$38</f>
        <v>0</v>
      </c>
    </row>
    <row r="180" spans="1:2" x14ac:dyDescent="0.35">
      <c r="A180" s="67" t="s">
        <v>1020</v>
      </c>
      <c r="B180" s="68">
        <f>'CDS-J'!$D$39</f>
        <v>0</v>
      </c>
    </row>
    <row r="181" spans="1:2" x14ac:dyDescent="0.35">
      <c r="A181" s="67" t="s">
        <v>1021</v>
      </c>
      <c r="B181" s="68">
        <f>'CDS-J'!$D$40</f>
        <v>0</v>
      </c>
    </row>
    <row r="182" spans="1:2" x14ac:dyDescent="0.35">
      <c r="A182" s="67" t="s">
        <v>1022</v>
      </c>
      <c r="B182" s="68">
        <f>'CDS-J'!$D$41</f>
        <v>0</v>
      </c>
    </row>
    <row r="183" spans="1:2" x14ac:dyDescent="0.35">
      <c r="A183" s="67" t="s">
        <v>1023</v>
      </c>
      <c r="B183" s="68">
        <f>'CDS-J'!$D$42</f>
        <v>0</v>
      </c>
    </row>
    <row r="184" spans="1:2" x14ac:dyDescent="0.35">
      <c r="A184" s="67" t="s">
        <v>1024</v>
      </c>
      <c r="B184" s="68">
        <f>'CDS-J'!$D$43</f>
        <v>0</v>
      </c>
    </row>
    <row r="185" spans="1:2" x14ac:dyDescent="0.35">
      <c r="A185" s="67" t="s">
        <v>1025</v>
      </c>
      <c r="B185" s="68">
        <f>'CDS-J'!$D$44</f>
        <v>0</v>
      </c>
    </row>
    <row r="186" spans="1:2" x14ac:dyDescent="0.35">
      <c r="A186" s="67" t="s">
        <v>948</v>
      </c>
      <c r="B186" s="68" t="str">
        <f>'CDS-J'!$C$6</f>
        <v xml:space="preserve"> </v>
      </c>
    </row>
    <row r="187" spans="1:2" x14ac:dyDescent="0.35">
      <c r="A187" s="67" t="s">
        <v>949</v>
      </c>
      <c r="B187" s="68" t="str">
        <f>'CDS-J'!$C$7</f>
        <v xml:space="preserve"> </v>
      </c>
    </row>
    <row r="188" spans="1:2" x14ac:dyDescent="0.35">
      <c r="A188" s="67" t="s">
        <v>950</v>
      </c>
      <c r="B188" s="68" t="str">
        <f>'CDS-J'!$C$8</f>
        <v xml:space="preserve"> </v>
      </c>
    </row>
    <row r="189" spans="1:2" x14ac:dyDescent="0.35">
      <c r="A189" s="67" t="s">
        <v>951</v>
      </c>
      <c r="B189" s="68" t="str">
        <f>'CDS-J'!$C$9</f>
        <v xml:space="preserve"> </v>
      </c>
    </row>
    <row r="190" spans="1:2" x14ac:dyDescent="0.35">
      <c r="A190" s="67" t="s">
        <v>952</v>
      </c>
      <c r="B190" s="68" t="str">
        <f>'CDS-J'!$C$10</f>
        <v xml:space="preserve"> </v>
      </c>
    </row>
    <row r="191" spans="1:2" x14ac:dyDescent="0.35">
      <c r="A191" s="67" t="s">
        <v>953</v>
      </c>
      <c r="B191" s="68" t="str">
        <f>'CDS-J'!$C$11</f>
        <v xml:space="preserve"> </v>
      </c>
    </row>
    <row r="192" spans="1:2" x14ac:dyDescent="0.35">
      <c r="A192" s="67" t="s">
        <v>954</v>
      </c>
      <c r="B192" s="68" t="str">
        <f>'CDS-J'!$C$12</f>
        <v xml:space="preserve"> </v>
      </c>
    </row>
    <row r="193" spans="1:2" x14ac:dyDescent="0.35">
      <c r="A193" s="67" t="s">
        <v>955</v>
      </c>
      <c r="B193" s="68" t="str">
        <f>'CDS-J'!$C$13</f>
        <v xml:space="preserve"> </v>
      </c>
    </row>
    <row r="194" spans="1:2" x14ac:dyDescent="0.35">
      <c r="A194" s="67" t="s">
        <v>956</v>
      </c>
      <c r="B194" s="68" t="str">
        <f>'CDS-J'!C$14</f>
        <v xml:space="preserve"> </v>
      </c>
    </row>
    <row r="195" spans="1:2" x14ac:dyDescent="0.35">
      <c r="A195" s="67" t="s">
        <v>957</v>
      </c>
      <c r="B195" s="68" t="str">
        <f>'CDS-J'!$C$15</f>
        <v xml:space="preserve"> </v>
      </c>
    </row>
    <row r="196" spans="1:2" x14ac:dyDescent="0.35">
      <c r="A196" s="67" t="s">
        <v>958</v>
      </c>
      <c r="B196" s="68" t="str">
        <f>'CDS-J'!$C$16</f>
        <v xml:space="preserve"> </v>
      </c>
    </row>
    <row r="197" spans="1:2" x14ac:dyDescent="0.35">
      <c r="A197" s="67" t="s">
        <v>959</v>
      </c>
      <c r="B197" s="68" t="str">
        <f>'CDS-J'!$C$17</f>
        <v xml:space="preserve"> </v>
      </c>
    </row>
    <row r="198" spans="1:2" x14ac:dyDescent="0.35">
      <c r="A198" s="67" t="s">
        <v>960</v>
      </c>
      <c r="B198" s="68">
        <f>'CDS-J'!$C$18</f>
        <v>0</v>
      </c>
    </row>
    <row r="199" spans="1:2" x14ac:dyDescent="0.35">
      <c r="A199" s="67" t="s">
        <v>961</v>
      </c>
      <c r="B199" s="68">
        <f>'CDS-J'!$C$19</f>
        <v>0</v>
      </c>
    </row>
    <row r="200" spans="1:2" x14ac:dyDescent="0.35">
      <c r="A200" s="67" t="s">
        <v>962</v>
      </c>
      <c r="B200" s="68">
        <f>'CDS-J'!$C$20</f>
        <v>0</v>
      </c>
    </row>
    <row r="201" spans="1:2" x14ac:dyDescent="0.35">
      <c r="A201" s="67" t="s">
        <v>963</v>
      </c>
      <c r="B201" s="68">
        <f>'CDS-J'!$C$21</f>
        <v>0</v>
      </c>
    </row>
    <row r="202" spans="1:2" x14ac:dyDescent="0.35">
      <c r="A202" s="67" t="s">
        <v>964</v>
      </c>
      <c r="B202" s="68">
        <f>'CDS-J'!$C$22</f>
        <v>0</v>
      </c>
    </row>
    <row r="203" spans="1:2" x14ac:dyDescent="0.35">
      <c r="A203" s="67" t="s">
        <v>965</v>
      </c>
      <c r="B203" s="68">
        <f>'CDS-J'!$C$23</f>
        <v>0</v>
      </c>
    </row>
    <row r="204" spans="1:2" x14ac:dyDescent="0.35">
      <c r="A204" s="67" t="s">
        <v>966</v>
      </c>
      <c r="B204" s="68">
        <f>'CDS-J'!$C$24</f>
        <v>0</v>
      </c>
    </row>
    <row r="205" spans="1:2" x14ac:dyDescent="0.35">
      <c r="A205" s="67" t="s">
        <v>967</v>
      </c>
      <c r="B205" s="68">
        <f>'CDS-J'!$C$25</f>
        <v>0</v>
      </c>
    </row>
    <row r="206" spans="1:2" x14ac:dyDescent="0.35">
      <c r="A206" s="67" t="s">
        <v>968</v>
      </c>
      <c r="B206" s="68">
        <f>'CDS-J'!$C$26</f>
        <v>0</v>
      </c>
    </row>
    <row r="207" spans="1:2" x14ac:dyDescent="0.35">
      <c r="A207" s="67" t="s">
        <v>969</v>
      </c>
      <c r="B207" s="68">
        <f>'CDS-J'!$C$27</f>
        <v>0</v>
      </c>
    </row>
    <row r="208" spans="1:2" x14ac:dyDescent="0.35">
      <c r="A208" s="67" t="s">
        <v>970</v>
      </c>
      <c r="B208" s="68">
        <f>'CDS-J'!$C$28</f>
        <v>0</v>
      </c>
    </row>
    <row r="209" spans="1:2" x14ac:dyDescent="0.35">
      <c r="A209" s="67" t="s">
        <v>971</v>
      </c>
      <c r="B209" s="68">
        <f>'CDS-J'!$C$29</f>
        <v>0</v>
      </c>
    </row>
    <row r="210" spans="1:2" x14ac:dyDescent="0.35">
      <c r="A210" s="67" t="s">
        <v>972</v>
      </c>
      <c r="B210" s="68">
        <f>'CDS-J'!$C$30</f>
        <v>0</v>
      </c>
    </row>
    <row r="211" spans="1:2" x14ac:dyDescent="0.35">
      <c r="A211" s="67" t="s">
        <v>973</v>
      </c>
      <c r="B211" s="68">
        <f>'CDS-J'!$C$31</f>
        <v>0</v>
      </c>
    </row>
    <row r="212" spans="1:2" x14ac:dyDescent="0.35">
      <c r="A212" s="67" t="s">
        <v>974</v>
      </c>
      <c r="B212" s="68">
        <f>'CDS-J'!$C$32</f>
        <v>0</v>
      </c>
    </row>
    <row r="213" spans="1:2" x14ac:dyDescent="0.35">
      <c r="A213" s="67" t="s">
        <v>975</v>
      </c>
      <c r="B213" s="68">
        <f>'CDS-J'!$C$33</f>
        <v>0</v>
      </c>
    </row>
    <row r="214" spans="1:2" x14ac:dyDescent="0.35">
      <c r="A214" s="67" t="s">
        <v>976</v>
      </c>
      <c r="B214" s="68">
        <f>'CDS-J'!$C$34</f>
        <v>0</v>
      </c>
    </row>
    <row r="215" spans="1:2" x14ac:dyDescent="0.35">
      <c r="A215" s="67" t="s">
        <v>977</v>
      </c>
      <c r="B215" s="68">
        <f>'CDS-J'!$C$35</f>
        <v>0</v>
      </c>
    </row>
    <row r="216" spans="1:2" x14ac:dyDescent="0.35">
      <c r="A216" s="67" t="s">
        <v>978</v>
      </c>
      <c r="B216" s="68">
        <f>'CDS-J'!$C$36</f>
        <v>0</v>
      </c>
    </row>
    <row r="217" spans="1:2" x14ac:dyDescent="0.35">
      <c r="A217" s="67" t="s">
        <v>979</v>
      </c>
      <c r="B217" s="68">
        <f>'CDS-J'!$C$37</f>
        <v>0</v>
      </c>
    </row>
    <row r="218" spans="1:2" x14ac:dyDescent="0.35">
      <c r="A218" s="67" t="s">
        <v>980</v>
      </c>
      <c r="B218" s="68">
        <f>'CDS-J'!$C$38</f>
        <v>0</v>
      </c>
    </row>
    <row r="219" spans="1:2" x14ac:dyDescent="0.35">
      <c r="A219" s="67" t="s">
        <v>981</v>
      </c>
      <c r="B219" s="68">
        <f>'CDS-J'!$C$39</f>
        <v>0</v>
      </c>
    </row>
    <row r="220" spans="1:2" x14ac:dyDescent="0.35">
      <c r="A220" s="67" t="s">
        <v>982</v>
      </c>
      <c r="B220" s="68">
        <f>'CDS-J'!$C$40</f>
        <v>0</v>
      </c>
    </row>
    <row r="221" spans="1:2" x14ac:dyDescent="0.35">
      <c r="A221" s="67" t="s">
        <v>983</v>
      </c>
      <c r="B221" s="68">
        <f>'CDS-J'!$C$41</f>
        <v>0</v>
      </c>
    </row>
    <row r="222" spans="1:2" x14ac:dyDescent="0.35">
      <c r="A222" s="67" t="s">
        <v>984</v>
      </c>
      <c r="B222" s="68">
        <f>'CDS-J'!$C$42</f>
        <v>0</v>
      </c>
    </row>
    <row r="223" spans="1:2" x14ac:dyDescent="0.35">
      <c r="A223" s="67" t="s">
        <v>985</v>
      </c>
      <c r="B223" s="68">
        <f>'CDS-J'!$C$43</f>
        <v>0</v>
      </c>
    </row>
    <row r="224" spans="1:2" x14ac:dyDescent="0.35">
      <c r="A224" s="67" t="s">
        <v>986</v>
      </c>
      <c r="B224" s="68">
        <f>'CDS-J'!$C$44</f>
        <v>0</v>
      </c>
    </row>
    <row r="225" spans="1:2" x14ac:dyDescent="0.35">
      <c r="A225" s="67" t="s">
        <v>1026</v>
      </c>
      <c r="B225" s="68">
        <f>'CDS-J'!$E$6</f>
        <v>0</v>
      </c>
    </row>
    <row r="226" spans="1:2" x14ac:dyDescent="0.35">
      <c r="A226" s="67" t="s">
        <v>1027</v>
      </c>
      <c r="B226" s="68">
        <f>'CDS-J'!$E$7</f>
        <v>2.97</v>
      </c>
    </row>
    <row r="227" spans="1:2" x14ac:dyDescent="0.35">
      <c r="A227" s="67" t="s">
        <v>1028</v>
      </c>
      <c r="B227" s="68">
        <f>'CDS-J'!$E$8</f>
        <v>0</v>
      </c>
    </row>
    <row r="228" spans="1:2" x14ac:dyDescent="0.35">
      <c r="A228" s="67" t="s">
        <v>1029</v>
      </c>
      <c r="B228" s="68">
        <f>'CDS-J'!$E$9</f>
        <v>2.97</v>
      </c>
    </row>
    <row r="229" spans="1:2" x14ac:dyDescent="0.35">
      <c r="A229" s="67" t="s">
        <v>1030</v>
      </c>
      <c r="B229" s="68">
        <f>'CDS-J'!$E$10</f>
        <v>0.42</v>
      </c>
    </row>
    <row r="230" spans="1:2" x14ac:dyDescent="0.35">
      <c r="A230" s="67" t="s">
        <v>1031</v>
      </c>
      <c r="B230" s="68">
        <f>'CDS-J'!$E$11</f>
        <v>0</v>
      </c>
    </row>
    <row r="231" spans="1:2" x14ac:dyDescent="0.35">
      <c r="A231" s="67" t="s">
        <v>1032</v>
      </c>
      <c r="B231" s="68">
        <f>'CDS-J'!$E$12</f>
        <v>5.09</v>
      </c>
    </row>
    <row r="232" spans="1:2" x14ac:dyDescent="0.35">
      <c r="A232" s="67" t="s">
        <v>1033</v>
      </c>
      <c r="B232" s="68">
        <f>'CDS-J'!$E$13</f>
        <v>0</v>
      </c>
    </row>
    <row r="233" spans="1:2" x14ac:dyDescent="0.35">
      <c r="A233" s="67" t="s">
        <v>1034</v>
      </c>
      <c r="B233" s="68">
        <f>'CDS-J'!$E$14</f>
        <v>0</v>
      </c>
    </row>
    <row r="234" spans="1:2" x14ac:dyDescent="0.35">
      <c r="A234" s="67" t="s">
        <v>1035</v>
      </c>
      <c r="B234" s="68">
        <f>'CDS-J'!$E$15</f>
        <v>0.42</v>
      </c>
    </row>
    <row r="235" spans="1:2" x14ac:dyDescent="0.35">
      <c r="A235" s="67" t="s">
        <v>1036</v>
      </c>
      <c r="B235" s="68">
        <f>'CDS-J'!$E$16</f>
        <v>0</v>
      </c>
    </row>
    <row r="236" spans="1:2" x14ac:dyDescent="0.35">
      <c r="A236" s="67" t="s">
        <v>1037</v>
      </c>
      <c r="B236" s="68">
        <f>'CDS-J'!$E$17</f>
        <v>2.54</v>
      </c>
    </row>
    <row r="237" spans="1:2" x14ac:dyDescent="0.35">
      <c r="A237" s="67" t="s">
        <v>1038</v>
      </c>
      <c r="B237" s="68">
        <f>'CDS-J'!$E$18</f>
        <v>0</v>
      </c>
    </row>
    <row r="238" spans="1:2" x14ac:dyDescent="0.35">
      <c r="A238" s="67" t="s">
        <v>1039</v>
      </c>
      <c r="B238" s="68">
        <f>'CDS-J'!$E$19</f>
        <v>0</v>
      </c>
    </row>
    <row r="239" spans="1:2" x14ac:dyDescent="0.35">
      <c r="A239" s="67" t="s">
        <v>1040</v>
      </c>
      <c r="B239" s="68">
        <f>'CDS-J'!$E$20</f>
        <v>2.97</v>
      </c>
    </row>
    <row r="240" spans="1:2" x14ac:dyDescent="0.35">
      <c r="A240" s="67" t="s">
        <v>1041</v>
      </c>
      <c r="B240" s="68">
        <f>'CDS-J'!$E$21</f>
        <v>2.12</v>
      </c>
    </row>
    <row r="241" spans="1:2" x14ac:dyDescent="0.35">
      <c r="A241" s="67" t="s">
        <v>1042</v>
      </c>
      <c r="B241" s="68">
        <f>'CDS-J'!$E$22</f>
        <v>0</v>
      </c>
    </row>
    <row r="242" spans="1:2" x14ac:dyDescent="0.35">
      <c r="A242" s="67" t="s">
        <v>1043</v>
      </c>
      <c r="B242" s="68">
        <f>'CDS-J'!$E$23</f>
        <v>21.61</v>
      </c>
    </row>
    <row r="243" spans="1:2" x14ac:dyDescent="0.35">
      <c r="A243" s="67" t="s">
        <v>1044</v>
      </c>
      <c r="B243" s="68">
        <f>'CDS-J'!$E$24</f>
        <v>1.7</v>
      </c>
    </row>
    <row r="244" spans="1:2" x14ac:dyDescent="0.35">
      <c r="A244" s="67" t="s">
        <v>1045</v>
      </c>
      <c r="B244" s="68">
        <f>'CDS-J'!$E$25</f>
        <v>0</v>
      </c>
    </row>
    <row r="245" spans="1:2" x14ac:dyDescent="0.35">
      <c r="A245" s="67" t="s">
        <v>1046</v>
      </c>
      <c r="B245" s="68">
        <f>'CDS-J'!$E$26</f>
        <v>7.63</v>
      </c>
    </row>
    <row r="246" spans="1:2" x14ac:dyDescent="0.35">
      <c r="A246" s="67" t="s">
        <v>1047</v>
      </c>
      <c r="B246" s="68">
        <f>'CDS-J'!$E$27</f>
        <v>0</v>
      </c>
    </row>
    <row r="247" spans="1:2" x14ac:dyDescent="0.35">
      <c r="A247" s="67" t="s">
        <v>1048</v>
      </c>
      <c r="B247" s="68">
        <f>'CDS-J'!$E$28</f>
        <v>2.12</v>
      </c>
    </row>
    <row r="248" spans="1:2" x14ac:dyDescent="0.35">
      <c r="A248" s="67" t="s">
        <v>1049</v>
      </c>
      <c r="B248" s="68">
        <f>'CDS-J'!$E$29</f>
        <v>0</v>
      </c>
    </row>
    <row r="249" spans="1:2" x14ac:dyDescent="0.35">
      <c r="A249" s="67" t="s">
        <v>1050</v>
      </c>
      <c r="B249" s="68">
        <f>'CDS-J'!$E$30</f>
        <v>6.36</v>
      </c>
    </row>
    <row r="250" spans="1:2" x14ac:dyDescent="0.35">
      <c r="A250" s="67" t="s">
        <v>1051</v>
      </c>
      <c r="B250" s="68">
        <f>'CDS-J'!$E$31</f>
        <v>0</v>
      </c>
    </row>
    <row r="251" spans="1:2" x14ac:dyDescent="0.35">
      <c r="A251" s="67" t="s">
        <v>1052</v>
      </c>
      <c r="B251" s="68">
        <f>'CDS-J'!$E$32</f>
        <v>9.75</v>
      </c>
    </row>
    <row r="252" spans="1:2" x14ac:dyDescent="0.35">
      <c r="A252" s="67" t="s">
        <v>1053</v>
      </c>
      <c r="B252" s="68">
        <f>'CDS-J'!$E$33</f>
        <v>0</v>
      </c>
    </row>
    <row r="253" spans="1:2" x14ac:dyDescent="0.35">
      <c r="A253" s="67" t="s">
        <v>1054</v>
      </c>
      <c r="B253" s="68">
        <f>'CDS-J'!$E$34</f>
        <v>1.7</v>
      </c>
    </row>
    <row r="254" spans="1:2" x14ac:dyDescent="0.35">
      <c r="A254" s="67" t="s">
        <v>1055</v>
      </c>
      <c r="B254" s="68">
        <f>'CDS-J'!$E$35</f>
        <v>9.32</v>
      </c>
    </row>
    <row r="255" spans="1:2" x14ac:dyDescent="0.35">
      <c r="A255" s="67" t="s">
        <v>1056</v>
      </c>
      <c r="B255" s="68">
        <f>'CDS-J'!$E$36</f>
        <v>0</v>
      </c>
    </row>
    <row r="256" spans="1:2" x14ac:dyDescent="0.35">
      <c r="A256" s="67" t="s">
        <v>1057</v>
      </c>
      <c r="B256" s="68">
        <f>'CDS-J'!$E$37</f>
        <v>0</v>
      </c>
    </row>
    <row r="257" spans="1:2" x14ac:dyDescent="0.35">
      <c r="A257" s="67" t="s">
        <v>1058</v>
      </c>
      <c r="B257" s="68">
        <f>'CDS-J'!$E$38</f>
        <v>0</v>
      </c>
    </row>
    <row r="258" spans="1:2" x14ac:dyDescent="0.35">
      <c r="A258" s="67" t="s">
        <v>1059</v>
      </c>
      <c r="B258" s="68">
        <f>'CDS-J'!$E$39</f>
        <v>0</v>
      </c>
    </row>
    <row r="259" spans="1:2" x14ac:dyDescent="0.35">
      <c r="A259" s="67" t="s">
        <v>1060</v>
      </c>
      <c r="B259" s="68">
        <f>'CDS-J'!$E$40</f>
        <v>8.9</v>
      </c>
    </row>
    <row r="260" spans="1:2" x14ac:dyDescent="0.35">
      <c r="A260" s="67" t="s">
        <v>1061</v>
      </c>
      <c r="B260" s="68">
        <f>'CDS-J'!$E$41</f>
        <v>0</v>
      </c>
    </row>
    <row r="261" spans="1:2" x14ac:dyDescent="0.35">
      <c r="A261" s="67" t="s">
        <v>1062</v>
      </c>
      <c r="B261" s="68">
        <f>'CDS-J'!$E$42</f>
        <v>9.75</v>
      </c>
    </row>
    <row r="262" spans="1:2" x14ac:dyDescent="0.35">
      <c r="A262" s="67" t="s">
        <v>1063</v>
      </c>
      <c r="B262" s="68">
        <f>'CDS-J'!$E$43</f>
        <v>1.7</v>
      </c>
    </row>
    <row r="263" spans="1:2" x14ac:dyDescent="0.35">
      <c r="A263" s="67" t="s">
        <v>1064</v>
      </c>
      <c r="B263" s="68">
        <f>'CDS-J'!$E$44</f>
        <v>0</v>
      </c>
    </row>
    <row r="264" spans="1:2" x14ac:dyDescent="0.35">
      <c r="A264" s="421" t="s">
        <v>625</v>
      </c>
      <c r="B264" s="421" t="str">
        <f>_xlfn.CONCAT('CDS-E'!$E$28:$E$41)</f>
        <v>Arts/fine arts|Foreign languages|Humanities|Intensive writing|Social science|Other|</v>
      </c>
    </row>
    <row r="265" spans="1:2" x14ac:dyDescent="0.35">
      <c r="A265" s="421" t="s">
        <v>624</v>
      </c>
      <c r="B265" s="421" t="str">
        <f>'CDS-E'!$B$42</f>
        <v xml:space="preserve"> Must take Biological or Physical science or Mathematics or Computer Science</v>
      </c>
    </row>
    <row r="266" spans="1:2" x14ac:dyDescent="0.35">
      <c r="A266" s="421" t="s">
        <v>627</v>
      </c>
      <c r="B266" s="421" t="str">
        <f>_xlfn.CONCAT('CDS-E'!$E$5:$E$23)</f>
        <v>Cross-registration|Distance learning|Double major|English as a Second Language|Honors program|Independent study|Internships|Student-designed major|Study abroad|Undergraduate Research|</v>
      </c>
    </row>
    <row r="267" spans="1:2" x14ac:dyDescent="0.35">
      <c r="A267" s="421" t="s">
        <v>626</v>
      </c>
      <c r="B267" s="421">
        <f>'CDS-E'!$B$24</f>
        <v>0</v>
      </c>
    </row>
    <row r="268" spans="1:2" x14ac:dyDescent="0.35">
      <c r="A268" s="67" t="s">
        <v>1076</v>
      </c>
      <c r="B268" s="443">
        <f>'CDS-G'!$D$22</f>
        <v>48218</v>
      </c>
    </row>
    <row r="269" spans="1:2" x14ac:dyDescent="0.35">
      <c r="A269" s="67" t="s">
        <v>1077</v>
      </c>
      <c r="B269" s="443">
        <f>'CDS-G'!$D$24</f>
        <v>0</v>
      </c>
    </row>
    <row r="270" spans="1:2" x14ac:dyDescent="0.35">
      <c r="A270" s="67" t="s">
        <v>1078</v>
      </c>
      <c r="B270" s="443">
        <f>'CDS-G'!$D$25</f>
        <v>0</v>
      </c>
    </row>
    <row r="271" spans="1:2" x14ac:dyDescent="0.35">
      <c r="A271" s="67" t="s">
        <v>1079</v>
      </c>
      <c r="B271" s="443">
        <f>'CDS-G'!$D$26</f>
        <v>0</v>
      </c>
    </row>
    <row r="272" spans="1:2" x14ac:dyDescent="0.35">
      <c r="A272" s="67" t="s">
        <v>1080</v>
      </c>
      <c r="B272" s="443">
        <f>'CDS-G'!$D$27</f>
        <v>0</v>
      </c>
    </row>
    <row r="273" spans="1:2" x14ac:dyDescent="0.35">
      <c r="A273" s="67" t="s">
        <v>1081</v>
      </c>
      <c r="B273" s="443">
        <f>'CDS-G'!$D$29</f>
        <v>840</v>
      </c>
    </row>
    <row r="274" spans="1:2" x14ac:dyDescent="0.35">
      <c r="A274" s="67" t="s">
        <v>1082</v>
      </c>
      <c r="B274" s="443">
        <f>'CDS-G'!$D$30</f>
        <v>12448</v>
      </c>
    </row>
    <row r="275" spans="1:2" x14ac:dyDescent="0.35">
      <c r="A275" s="67" t="s">
        <v>1083</v>
      </c>
      <c r="B275" s="443">
        <f>'CDS-G'!$D$31</f>
        <v>6574</v>
      </c>
    </row>
    <row r="276" spans="1:2" x14ac:dyDescent="0.35">
      <c r="A276" s="67" t="s">
        <v>1084</v>
      </c>
      <c r="B276" s="443">
        <f>'CDS-G'!$D$32</f>
        <v>5874</v>
      </c>
    </row>
    <row r="277" spans="1:2" x14ac:dyDescent="0.35">
      <c r="A277" s="67" t="s">
        <v>1073</v>
      </c>
      <c r="B277" s="443">
        <f>'CDS-G'!$C$32</f>
        <v>5874</v>
      </c>
    </row>
    <row r="278" spans="1:2" x14ac:dyDescent="0.35">
      <c r="A278" s="67" t="s">
        <v>1065</v>
      </c>
      <c r="B278" s="443">
        <f>'CDS-G'!$C$22</f>
        <v>48218</v>
      </c>
    </row>
    <row r="279" spans="1:2" x14ac:dyDescent="0.35">
      <c r="A279" s="67" t="s">
        <v>1066</v>
      </c>
      <c r="B279" s="443">
        <f>'CDS-G'!$C$24</f>
        <v>0</v>
      </c>
    </row>
    <row r="280" spans="1:2" x14ac:dyDescent="0.35">
      <c r="A280" s="67" t="s">
        <v>1067</v>
      </c>
      <c r="B280" s="443">
        <f>'CDS-G'!$C$25</f>
        <v>0</v>
      </c>
    </row>
    <row r="281" spans="1:2" x14ac:dyDescent="0.35">
      <c r="A281" s="67" t="s">
        <v>1070</v>
      </c>
      <c r="B281" s="443">
        <f>'CDS-G'!$C$26</f>
        <v>0</v>
      </c>
    </row>
    <row r="282" spans="1:2" x14ac:dyDescent="0.35">
      <c r="A282" s="67" t="s">
        <v>1068</v>
      </c>
      <c r="B282" s="443">
        <f>'CDS-G'!$C$27</f>
        <v>0</v>
      </c>
    </row>
    <row r="283" spans="1:2" x14ac:dyDescent="0.35">
      <c r="A283" s="67" t="s">
        <v>1069</v>
      </c>
      <c r="B283" s="443">
        <f>'CDS-G'!$C$29</f>
        <v>840</v>
      </c>
    </row>
    <row r="284" spans="1:2" x14ac:dyDescent="0.35">
      <c r="A284" s="67" t="s">
        <v>1071</v>
      </c>
      <c r="B284" s="443">
        <f>'CDS-G'!$C$30</f>
        <v>12448</v>
      </c>
    </row>
    <row r="285" spans="1:2" x14ac:dyDescent="0.35">
      <c r="A285" s="67" t="s">
        <v>1072</v>
      </c>
      <c r="B285" s="443">
        <f>'CDS-G'!$C$31</f>
        <v>6574</v>
      </c>
    </row>
    <row r="286" spans="1:2" x14ac:dyDescent="0.35">
      <c r="A286" s="67" t="s">
        <v>1074</v>
      </c>
      <c r="B286" s="443">
        <f>'CDS-G'!$E$34</f>
        <v>0</v>
      </c>
    </row>
    <row r="287" spans="1:2" x14ac:dyDescent="0.35">
      <c r="A287" s="67" t="s">
        <v>1075</v>
      </c>
      <c r="B287" s="443" t="str">
        <f>""&amp;'CDS-G'!$C$36</f>
        <v/>
      </c>
    </row>
    <row r="288" spans="1:2" x14ac:dyDescent="0.35">
      <c r="A288" s="67" t="s">
        <v>1090</v>
      </c>
      <c r="B288" s="443">
        <f>'CDS-G'!$C$48</f>
        <v>1000</v>
      </c>
    </row>
    <row r="289" spans="1:2" x14ac:dyDescent="0.35">
      <c r="A289" s="67" t="s">
        <v>1097</v>
      </c>
      <c r="B289" s="443">
        <f>'CDS-G'!$C$52</f>
        <v>0</v>
      </c>
    </row>
    <row r="290" spans="1:2" x14ac:dyDescent="0.35">
      <c r="A290" s="67" t="s">
        <v>1100</v>
      </c>
      <c r="B290" s="443">
        <f>'CDS-G'!$C$53</f>
        <v>2345</v>
      </c>
    </row>
    <row r="291" spans="1:2" x14ac:dyDescent="0.35">
      <c r="A291" s="67" t="s">
        <v>1091</v>
      </c>
      <c r="B291" s="443">
        <f>'CDS-G'!$D$48</f>
        <v>1000</v>
      </c>
    </row>
    <row r="292" spans="1:2" x14ac:dyDescent="0.35">
      <c r="A292" s="67" t="s">
        <v>1094</v>
      </c>
      <c r="B292" s="443">
        <f>'CDS-G'!$D$50</f>
        <v>0</v>
      </c>
    </row>
    <row r="293" spans="1:2" x14ac:dyDescent="0.35">
      <c r="A293" s="67" t="s">
        <v>1098</v>
      </c>
      <c r="B293" s="443">
        <f>'CDS-G'!$D$52</f>
        <v>0</v>
      </c>
    </row>
    <row r="294" spans="1:2" x14ac:dyDescent="0.35">
      <c r="A294" s="67" t="s">
        <v>1101</v>
      </c>
      <c r="B294" s="443">
        <f>'CDS-G'!$D$53</f>
        <v>2345</v>
      </c>
    </row>
    <row r="295" spans="1:2" x14ac:dyDescent="0.35">
      <c r="A295" s="67" t="s">
        <v>1092</v>
      </c>
      <c r="B295" s="443">
        <f>'CDS-G'!$E$48</f>
        <v>1000</v>
      </c>
    </row>
    <row r="296" spans="1:2" x14ac:dyDescent="0.35">
      <c r="A296" s="67" t="s">
        <v>1093</v>
      </c>
      <c r="B296" s="443">
        <f>'CDS-G'!$E$49</f>
        <v>0</v>
      </c>
    </row>
    <row r="297" spans="1:2" x14ac:dyDescent="0.35">
      <c r="A297" s="67" t="s">
        <v>1095</v>
      </c>
      <c r="B297" s="443">
        <f>'CDS-G'!$E$50</f>
        <v>0</v>
      </c>
    </row>
    <row r="298" spans="1:2" x14ac:dyDescent="0.35">
      <c r="A298" s="67" t="s">
        <v>1096</v>
      </c>
      <c r="B298" s="443">
        <f>'CDS-G'!$E$51</f>
        <v>8140</v>
      </c>
    </row>
    <row r="299" spans="1:2" x14ac:dyDescent="0.35">
      <c r="A299" s="67" t="s">
        <v>1099</v>
      </c>
      <c r="B299" s="443">
        <f>'CDS-G'!$E$52</f>
        <v>0</v>
      </c>
    </row>
    <row r="300" spans="1:2" x14ac:dyDescent="0.35">
      <c r="A300" s="67" t="s">
        <v>1102</v>
      </c>
      <c r="B300" s="443">
        <f>'CDS-G'!$E$53</f>
        <v>2345</v>
      </c>
    </row>
    <row r="301" spans="1:2" x14ac:dyDescent="0.35">
      <c r="A301" s="67" t="s">
        <v>1103</v>
      </c>
      <c r="B301" s="443">
        <f>'CDS-G'!$C$57</f>
        <v>1608</v>
      </c>
    </row>
    <row r="302" spans="1:2" x14ac:dyDescent="0.35">
      <c r="A302" s="67" t="s">
        <v>1104</v>
      </c>
      <c r="B302" s="443">
        <f>'CDS-G'!$C$59</f>
        <v>0</v>
      </c>
    </row>
    <row r="303" spans="1:2" x14ac:dyDescent="0.35">
      <c r="A303" s="67" t="s">
        <v>1105</v>
      </c>
      <c r="B303" s="443">
        <f>'CDS-G'!$C$60</f>
        <v>0</v>
      </c>
    </row>
    <row r="304" spans="1:2" x14ac:dyDescent="0.35">
      <c r="A304" s="67" t="s">
        <v>1106</v>
      </c>
      <c r="B304" s="443">
        <f>'CDS-G'!$C$61</f>
        <v>0</v>
      </c>
    </row>
    <row r="305" spans="1:2" x14ac:dyDescent="0.35">
      <c r="A305" s="67" t="s">
        <v>1107</v>
      </c>
      <c r="B305" s="443">
        <f>'CDS-G'!$C$62</f>
        <v>1608</v>
      </c>
    </row>
    <row r="306" spans="1:2" x14ac:dyDescent="0.35">
      <c r="A306" s="421" t="s">
        <v>1085</v>
      </c>
      <c r="B306" s="444"/>
    </row>
    <row r="307" spans="1:2" x14ac:dyDescent="0.35">
      <c r="A307" s="67" t="s">
        <v>1089</v>
      </c>
      <c r="B307" s="67" t="str">
        <f>'CDS-G'!$H$43</f>
        <v>no</v>
      </c>
    </row>
    <row r="308" spans="1:2" x14ac:dyDescent="0.35">
      <c r="A308" s="67" t="s">
        <v>1086</v>
      </c>
      <c r="B308" s="68">
        <f>'CDS-G'!$D$39</f>
        <v>12</v>
      </c>
    </row>
    <row r="309" spans="1:2" x14ac:dyDescent="0.35">
      <c r="A309" s="67" t="s">
        <v>1087</v>
      </c>
      <c r="B309" s="68">
        <f>'CDS-G'!$E$39</f>
        <v>18</v>
      </c>
    </row>
    <row r="310" spans="1:2" x14ac:dyDescent="0.35">
      <c r="A310" s="67" t="s">
        <v>1088</v>
      </c>
      <c r="B310" s="67" t="str">
        <f>'CDS-G'!$H$42</f>
        <v>no</v>
      </c>
    </row>
    <row r="311" spans="1:2" x14ac:dyDescent="0.35">
      <c r="A311" s="418" t="s">
        <v>1512</v>
      </c>
      <c r="B311" s="445" t="str">
        <f>""&amp;'CDS-C'!$E$13</f>
        <v>19</v>
      </c>
    </row>
    <row r="312" spans="1:2" x14ac:dyDescent="0.35">
      <c r="A312" s="422" t="s">
        <v>746</v>
      </c>
      <c r="B312" s="426">
        <f>'CDS-C'!$E$11</f>
        <v>631</v>
      </c>
    </row>
    <row r="313" spans="1:2" x14ac:dyDescent="0.35">
      <c r="A313" s="419" t="s">
        <v>745</v>
      </c>
      <c r="B313" s="426">
        <f>'CDS-C'!$E$12</f>
        <v>725</v>
      </c>
    </row>
    <row r="314" spans="1:2" x14ac:dyDescent="0.35">
      <c r="A314" s="418" t="s">
        <v>1513</v>
      </c>
      <c r="B314" s="446" t="str">
        <f>""&amp;'CDS-C'!$E$17</f>
        <v>18</v>
      </c>
    </row>
    <row r="315" spans="1:2" x14ac:dyDescent="0.35">
      <c r="A315" s="419" t="s">
        <v>744</v>
      </c>
      <c r="B315" s="426">
        <f>'CDS-C'!$E$15</f>
        <v>424</v>
      </c>
    </row>
    <row r="316" spans="1:2" x14ac:dyDescent="0.35">
      <c r="A316" s="419" t="s">
        <v>743</v>
      </c>
      <c r="B316" s="426">
        <f>'CDS-C'!$E$16</f>
        <v>565</v>
      </c>
    </row>
    <row r="317" spans="1:2" x14ac:dyDescent="0.35">
      <c r="A317" s="418" t="s">
        <v>1514</v>
      </c>
      <c r="B317" s="445" t="str">
        <f>""&amp;'CDS-C'!$E$25</f>
        <v>4</v>
      </c>
    </row>
    <row r="318" spans="1:2" x14ac:dyDescent="0.35">
      <c r="A318" s="418" t="s">
        <v>1515</v>
      </c>
      <c r="B318" s="445" t="str">
        <f>""&amp;'CDS-C'!$E$26</f>
        <v>0</v>
      </c>
    </row>
    <row r="319" spans="1:2" x14ac:dyDescent="0.35">
      <c r="A319" s="419" t="s">
        <v>742</v>
      </c>
      <c r="B319" s="426">
        <f>'CDS-C'!$E$19</f>
        <v>86</v>
      </c>
    </row>
    <row r="320" spans="1:2" x14ac:dyDescent="0.35">
      <c r="A320" s="419" t="s">
        <v>740</v>
      </c>
      <c r="B320" s="426">
        <f>'CDS-C'!$E$22</f>
        <v>82</v>
      </c>
    </row>
    <row r="321" spans="1:2" x14ac:dyDescent="0.35">
      <c r="A321" s="419" t="s">
        <v>741</v>
      </c>
      <c r="B321" s="426">
        <f>'CDS-C'!$E$20</f>
        <v>0</v>
      </c>
    </row>
    <row r="322" spans="1:2" x14ac:dyDescent="0.35">
      <c r="A322" s="419" t="s">
        <v>739</v>
      </c>
      <c r="B322" s="426">
        <f>'CDS-C'!$E$23</f>
        <v>0</v>
      </c>
    </row>
    <row r="323" spans="1:2" x14ac:dyDescent="0.35">
      <c r="A323" s="419" t="s">
        <v>738</v>
      </c>
      <c r="B323" s="426">
        <f>'CDS-C'!$E$28</f>
        <v>1375</v>
      </c>
    </row>
    <row r="324" spans="1:2" x14ac:dyDescent="0.35">
      <c r="A324" s="419" t="s">
        <v>737</v>
      </c>
      <c r="B324" s="426">
        <f>'CDS-C'!$E$29</f>
        <v>1007</v>
      </c>
    </row>
    <row r="325" spans="1:2" x14ac:dyDescent="0.35">
      <c r="A325" s="419" t="s">
        <v>736</v>
      </c>
      <c r="B325" s="426">
        <f>'CDS-C'!$E$30</f>
        <v>173</v>
      </c>
    </row>
    <row r="326" spans="1:2" x14ac:dyDescent="0.35">
      <c r="A326" s="418" t="s">
        <v>1582</v>
      </c>
      <c r="B326" s="426" t="str">
        <f>""&amp;'CDS-C'!$D$163</f>
        <v>43</v>
      </c>
    </row>
    <row r="327" spans="1:2" x14ac:dyDescent="0.35">
      <c r="A327" s="418" t="s">
        <v>1584</v>
      </c>
      <c r="B327" s="426" t="str">
        <f>""&amp;'CDS-C'!$D$164</f>
        <v>33</v>
      </c>
    </row>
    <row r="328" spans="1:2" x14ac:dyDescent="0.35">
      <c r="A328" s="418" t="s">
        <v>1581</v>
      </c>
      <c r="B328" s="433">
        <f>'CDS-C'!$C$163</f>
        <v>24</v>
      </c>
    </row>
    <row r="329" spans="1:2" x14ac:dyDescent="0.35">
      <c r="A329" s="418" t="s">
        <v>1583</v>
      </c>
      <c r="B329" s="433">
        <f>'CDS-C'!$C$164</f>
        <v>19</v>
      </c>
    </row>
    <row r="330" spans="1:2" x14ac:dyDescent="0.35">
      <c r="A330" s="418" t="s">
        <v>1516</v>
      </c>
      <c r="B330" s="426">
        <f>'CDS-C'!$C$170</f>
        <v>1160</v>
      </c>
    </row>
    <row r="331" spans="1:2" x14ac:dyDescent="0.35">
      <c r="A331" s="418" t="s">
        <v>1517</v>
      </c>
      <c r="B331" s="426">
        <f>'CDS-C'!$E$170</f>
        <v>1350</v>
      </c>
    </row>
    <row r="332" spans="1:2" x14ac:dyDescent="0.35">
      <c r="A332" s="418" t="s">
        <v>1518</v>
      </c>
      <c r="B332" s="426">
        <f>'CDS-C'!$C$171</f>
        <v>590</v>
      </c>
    </row>
    <row r="333" spans="1:2" x14ac:dyDescent="0.35">
      <c r="A333" s="418" t="s">
        <v>1519</v>
      </c>
      <c r="B333" s="426">
        <f>'CDS-C'!$E$171</f>
        <v>710</v>
      </c>
    </row>
    <row r="334" spans="1:2" x14ac:dyDescent="0.35">
      <c r="A334" s="418" t="s">
        <v>1520</v>
      </c>
      <c r="B334" s="426">
        <f>'CDS-C'!$C$172</f>
        <v>540</v>
      </c>
    </row>
    <row r="335" spans="1:2" x14ac:dyDescent="0.35">
      <c r="A335" s="418" t="s">
        <v>1521</v>
      </c>
      <c r="B335" s="426">
        <f>'CDS-C'!$E$172</f>
        <v>670</v>
      </c>
    </row>
    <row r="336" spans="1:2" x14ac:dyDescent="0.35">
      <c r="A336" s="418" t="s">
        <v>1522</v>
      </c>
      <c r="B336" s="426">
        <f>'CDS-C'!$C$173</f>
        <v>24</v>
      </c>
    </row>
    <row r="337" spans="1:2" x14ac:dyDescent="0.35">
      <c r="A337" s="418" t="s">
        <v>1523</v>
      </c>
      <c r="B337" s="426">
        <f>'CDS-C'!$E$173</f>
        <v>32</v>
      </c>
    </row>
    <row r="338" spans="1:2" x14ac:dyDescent="0.35">
      <c r="A338" s="418" t="s">
        <v>1524</v>
      </c>
      <c r="B338" s="426">
        <f>'CDS-C'!$C$174</f>
        <v>23</v>
      </c>
    </row>
    <row r="339" spans="1:2" x14ac:dyDescent="0.35">
      <c r="A339" s="418" t="s">
        <v>1525</v>
      </c>
      <c r="B339" s="426">
        <f>'CDS-C'!$E$174</f>
        <v>28</v>
      </c>
    </row>
    <row r="340" spans="1:2" x14ac:dyDescent="0.35">
      <c r="A340" s="418" t="s">
        <v>1526</v>
      </c>
      <c r="B340" s="426">
        <f>'CDS-C'!$C$175</f>
        <v>21</v>
      </c>
    </row>
    <row r="341" spans="1:2" x14ac:dyDescent="0.35">
      <c r="A341" s="418" t="s">
        <v>1527</v>
      </c>
      <c r="B341" s="426">
        <f>'CDS-C'!$E$175</f>
        <v>33</v>
      </c>
    </row>
    <row r="342" spans="1:2" x14ac:dyDescent="0.35">
      <c r="A342" s="418" t="s">
        <v>1532</v>
      </c>
      <c r="B342" s="426" t="e">
        <f>'CDS-C'!#REF!</f>
        <v>#REF!</v>
      </c>
    </row>
    <row r="343" spans="1:2" x14ac:dyDescent="0.35">
      <c r="A343" s="418" t="s">
        <v>1533</v>
      </c>
      <c r="B343" s="426" t="e">
        <f>'CDS-C'!#REF!</f>
        <v>#REF!</v>
      </c>
    </row>
    <row r="344" spans="1:2" x14ac:dyDescent="0.35">
      <c r="A344" s="418" t="s">
        <v>1530</v>
      </c>
      <c r="B344" s="426">
        <f>'CDS-C'!$C$178</f>
        <v>25</v>
      </c>
    </row>
    <row r="345" spans="1:2" x14ac:dyDescent="0.35">
      <c r="A345" s="418" t="s">
        <v>1531</v>
      </c>
      <c r="B345" s="426">
        <f>'CDS-C'!$E$178</f>
        <v>34</v>
      </c>
    </row>
    <row r="346" spans="1:2" x14ac:dyDescent="0.35">
      <c r="A346" s="418" t="s">
        <v>1528</v>
      </c>
      <c r="B346" s="426">
        <f>'CDS-C'!$C$177</f>
        <v>24</v>
      </c>
    </row>
    <row r="347" spans="1:2" x14ac:dyDescent="0.35">
      <c r="A347" s="418" t="s">
        <v>1529</v>
      </c>
      <c r="B347" s="426">
        <f>'CDS-C'!$E$177</f>
        <v>33</v>
      </c>
    </row>
    <row r="348" spans="1:2" x14ac:dyDescent="0.35">
      <c r="A348" s="418" t="s">
        <v>1534</v>
      </c>
      <c r="B348" s="433">
        <f>'CDS-C'!$C$183</f>
        <v>39.53</v>
      </c>
    </row>
    <row r="349" spans="1:2" x14ac:dyDescent="0.35">
      <c r="A349" s="418" t="s">
        <v>1535</v>
      </c>
      <c r="B349" s="433">
        <f>'CDS-C'!$C$184</f>
        <v>32.56</v>
      </c>
    </row>
    <row r="350" spans="1:2" x14ac:dyDescent="0.35">
      <c r="A350" s="418" t="s">
        <v>1536</v>
      </c>
      <c r="B350" s="433">
        <f>'CDS-C'!$C$185</f>
        <v>20.93</v>
      </c>
    </row>
    <row r="351" spans="1:2" x14ac:dyDescent="0.35">
      <c r="A351" s="418" t="s">
        <v>1537</v>
      </c>
      <c r="B351" s="433">
        <f>'CDS-C'!$C$186</f>
        <v>6.98</v>
      </c>
    </row>
    <row r="352" spans="1:2" x14ac:dyDescent="0.35">
      <c r="A352" s="418" t="s">
        <v>1538</v>
      </c>
      <c r="B352" s="433" t="str">
        <f>'CDS-C'!$C$187</f>
        <v xml:space="preserve"> </v>
      </c>
    </row>
    <row r="353" spans="1:2" x14ac:dyDescent="0.35">
      <c r="A353" s="418" t="s">
        <v>1539</v>
      </c>
      <c r="B353" s="433" t="str">
        <f>'CDS-C'!$C$188</f>
        <v xml:space="preserve"> </v>
      </c>
    </row>
    <row r="354" spans="1:2" x14ac:dyDescent="0.35">
      <c r="A354" s="418" t="s">
        <v>1540</v>
      </c>
      <c r="B354" s="433">
        <f>'CDS-C'!$D$183</f>
        <v>13.95</v>
      </c>
    </row>
    <row r="355" spans="1:2" x14ac:dyDescent="0.35">
      <c r="A355" s="418" t="s">
        <v>1541</v>
      </c>
      <c r="B355" s="433">
        <f>'CDS-C'!$D$184</f>
        <v>39.53</v>
      </c>
    </row>
    <row r="356" spans="1:2" x14ac:dyDescent="0.35">
      <c r="A356" s="418" t="s">
        <v>1542</v>
      </c>
      <c r="B356" s="433">
        <f>'CDS-C'!$D$185</f>
        <v>39.53</v>
      </c>
    </row>
    <row r="357" spans="1:2" x14ac:dyDescent="0.35">
      <c r="A357" s="418" t="s">
        <v>1543</v>
      </c>
      <c r="B357" s="433">
        <f>'CDS-C'!$D$186</f>
        <v>6.98</v>
      </c>
    </row>
    <row r="358" spans="1:2" x14ac:dyDescent="0.35">
      <c r="A358" s="418" t="s">
        <v>1544</v>
      </c>
      <c r="B358" s="433" t="str">
        <f>'CDS-C'!$D$187</f>
        <v xml:space="preserve"> </v>
      </c>
    </row>
    <row r="359" spans="1:2" x14ac:dyDescent="0.35">
      <c r="A359" s="418" t="s">
        <v>1545</v>
      </c>
      <c r="B359" s="433" t="str">
        <f>'CDS-C'!$D$188</f>
        <v xml:space="preserve"> </v>
      </c>
    </row>
    <row r="360" spans="1:2" x14ac:dyDescent="0.35">
      <c r="A360" s="418" t="s">
        <v>1546</v>
      </c>
      <c r="B360" s="426">
        <f>'CDS-C'!$C$192</f>
        <v>13.95</v>
      </c>
    </row>
    <row r="361" spans="1:2" x14ac:dyDescent="0.35">
      <c r="A361" s="418" t="s">
        <v>1547</v>
      </c>
      <c r="B361" s="426">
        <f>'CDS-C'!$C$193</f>
        <v>53.49</v>
      </c>
    </row>
    <row r="362" spans="1:2" x14ac:dyDescent="0.35">
      <c r="A362" s="418" t="s">
        <v>1548</v>
      </c>
      <c r="B362" s="426">
        <f>'CDS-C'!$C$194</f>
        <v>30.23</v>
      </c>
    </row>
    <row r="363" spans="1:2" x14ac:dyDescent="0.35">
      <c r="A363" s="418" t="s">
        <v>1549</v>
      </c>
      <c r="B363" s="426">
        <f>'CDS-C'!$C$195</f>
        <v>2.3199999999999998</v>
      </c>
    </row>
    <row r="364" spans="1:2" x14ac:dyDescent="0.35">
      <c r="A364" s="418" t="s">
        <v>1550</v>
      </c>
      <c r="B364" s="426" t="str">
        <f>'CDS-C'!$C$196</f>
        <v xml:space="preserve"> </v>
      </c>
    </row>
    <row r="365" spans="1:2" x14ac:dyDescent="0.35">
      <c r="A365" s="418" t="s">
        <v>1551</v>
      </c>
      <c r="B365" s="426" t="str">
        <f>'CDS-C'!$C$197</f>
        <v xml:space="preserve"> </v>
      </c>
    </row>
    <row r="366" spans="1:2" x14ac:dyDescent="0.35">
      <c r="A366" s="418" t="s">
        <v>1552</v>
      </c>
      <c r="B366" s="433">
        <f>'CDS-C'!$C$201</f>
        <v>30.3</v>
      </c>
    </row>
    <row r="367" spans="1:2" x14ac:dyDescent="0.35">
      <c r="A367" s="418" t="s">
        <v>1553</v>
      </c>
      <c r="B367" s="433">
        <f>'CDS-C'!$C$202</f>
        <v>48.48</v>
      </c>
    </row>
    <row r="368" spans="1:2" x14ac:dyDescent="0.35">
      <c r="A368" s="418" t="s">
        <v>1554</v>
      </c>
      <c r="B368" s="433">
        <f>'CDS-C'!$C$203</f>
        <v>21.21</v>
      </c>
    </row>
    <row r="369" spans="1:2" x14ac:dyDescent="0.35">
      <c r="A369" s="418" t="s">
        <v>1555</v>
      </c>
      <c r="B369" s="433" t="str">
        <f>'CDS-C'!$C$204</f>
        <v xml:space="preserve"> </v>
      </c>
    </row>
    <row r="370" spans="1:2" x14ac:dyDescent="0.35">
      <c r="A370" s="418" t="s">
        <v>1556</v>
      </c>
      <c r="B370" s="433" t="str">
        <f>'CDS-C'!$C$205</f>
        <v xml:space="preserve"> </v>
      </c>
    </row>
    <row r="371" spans="1:2" x14ac:dyDescent="0.35">
      <c r="A371" s="418" t="s">
        <v>1557</v>
      </c>
      <c r="B371" s="433" t="str">
        <f>'CDS-C'!$C$206</f>
        <v xml:space="preserve"> </v>
      </c>
    </row>
    <row r="372" spans="1:2" x14ac:dyDescent="0.35">
      <c r="A372" s="418" t="s">
        <v>1558</v>
      </c>
      <c r="B372" s="433">
        <f>'CDS-C'!$D$201</f>
        <v>39.39</v>
      </c>
    </row>
    <row r="373" spans="1:2" x14ac:dyDescent="0.35">
      <c r="A373" s="418" t="s">
        <v>1559</v>
      </c>
      <c r="B373" s="433">
        <f>'CDS-C'!$D$202</f>
        <v>27.27</v>
      </c>
    </row>
    <row r="374" spans="1:2" x14ac:dyDescent="0.35">
      <c r="A374" s="418" t="s">
        <v>1560</v>
      </c>
      <c r="B374" s="433">
        <f>'CDS-C'!$D$203</f>
        <v>27.27</v>
      </c>
    </row>
    <row r="375" spans="1:2" x14ac:dyDescent="0.35">
      <c r="A375" s="418" t="s">
        <v>1561</v>
      </c>
      <c r="B375" s="433">
        <f>'CDS-C'!$D$204</f>
        <v>6.06</v>
      </c>
    </row>
    <row r="376" spans="1:2" x14ac:dyDescent="0.35">
      <c r="A376" s="418" t="s">
        <v>1562</v>
      </c>
      <c r="B376" s="433" t="str">
        <f>'CDS-C'!$D$205</f>
        <v xml:space="preserve"> </v>
      </c>
    </row>
    <row r="377" spans="1:2" x14ac:dyDescent="0.35">
      <c r="A377" s="418" t="s">
        <v>1662</v>
      </c>
      <c r="B377" s="433" t="str">
        <f>'CDS-C'!$D$206</f>
        <v xml:space="preserve"> </v>
      </c>
    </row>
    <row r="378" spans="1:2" x14ac:dyDescent="0.35">
      <c r="A378" s="418" t="s">
        <v>1563</v>
      </c>
      <c r="B378" s="433">
        <f>'CDS-C'!$E$201</f>
        <v>9.09</v>
      </c>
    </row>
    <row r="379" spans="1:2" x14ac:dyDescent="0.35">
      <c r="A379" s="418" t="s">
        <v>1564</v>
      </c>
      <c r="B379" s="433">
        <f>'CDS-C'!$E$202</f>
        <v>63.63</v>
      </c>
    </row>
    <row r="380" spans="1:2" x14ac:dyDescent="0.35">
      <c r="A380" s="418" t="s">
        <v>1565</v>
      </c>
      <c r="B380" s="433">
        <f>'CDS-C'!$E$203</f>
        <v>21.21</v>
      </c>
    </row>
    <row r="381" spans="1:2" x14ac:dyDescent="0.35">
      <c r="A381" s="418" t="s">
        <v>1566</v>
      </c>
      <c r="B381" s="433">
        <f>'CDS-C'!$E$204</f>
        <v>6.06</v>
      </c>
    </row>
    <row r="382" spans="1:2" x14ac:dyDescent="0.35">
      <c r="A382" s="418" t="s">
        <v>1567</v>
      </c>
      <c r="B382" s="433" t="str">
        <f>'CDS-C'!$E$205</f>
        <v xml:space="preserve"> </v>
      </c>
    </row>
    <row r="383" spans="1:2" x14ac:dyDescent="0.35">
      <c r="A383" s="418" t="s">
        <v>1568</v>
      </c>
      <c r="B383" s="433" t="str">
        <f>'CDS-C'!$E$206</f>
        <v xml:space="preserve"> </v>
      </c>
    </row>
    <row r="384" spans="1:2" x14ac:dyDescent="0.35">
      <c r="A384" s="418" t="s">
        <v>1575</v>
      </c>
      <c r="B384" s="433" t="str">
        <f>'CDS-C'!$G$201</f>
        <v xml:space="preserve"> </v>
      </c>
    </row>
    <row r="385" spans="1:2" x14ac:dyDescent="0.35">
      <c r="A385" s="418" t="s">
        <v>1576</v>
      </c>
      <c r="B385" s="433" t="str">
        <f>'CDS-C'!$G$202</f>
        <v xml:space="preserve"> </v>
      </c>
    </row>
    <row r="386" spans="1:2" x14ac:dyDescent="0.35">
      <c r="A386" s="418" t="s">
        <v>1577</v>
      </c>
      <c r="B386" s="433" t="str">
        <f>'CDS-C'!$G$203</f>
        <v xml:space="preserve"> </v>
      </c>
    </row>
    <row r="387" spans="1:2" x14ac:dyDescent="0.35">
      <c r="A387" s="418" t="s">
        <v>1578</v>
      </c>
      <c r="B387" s="433" t="str">
        <f>'CDS-C'!$G$204</f>
        <v xml:space="preserve"> </v>
      </c>
    </row>
    <row r="388" spans="1:2" x14ac:dyDescent="0.35">
      <c r="A388" s="418" t="s">
        <v>1579</v>
      </c>
      <c r="B388" s="433" t="str">
        <f>'CDS-C'!$G$205</f>
        <v xml:space="preserve"> </v>
      </c>
    </row>
    <row r="389" spans="1:2" x14ac:dyDescent="0.35">
      <c r="A389" s="418" t="s">
        <v>1580</v>
      </c>
      <c r="B389" s="433" t="str">
        <f>'CDS-C'!$G$206</f>
        <v xml:space="preserve"> </v>
      </c>
    </row>
    <row r="390" spans="1:2" x14ac:dyDescent="0.35">
      <c r="A390" s="418" t="s">
        <v>1569</v>
      </c>
      <c r="B390" s="433" t="str">
        <f>'CDS-C'!$F$201</f>
        <v xml:space="preserve"> </v>
      </c>
    </row>
    <row r="391" spans="1:2" x14ac:dyDescent="0.35">
      <c r="A391" s="418" t="s">
        <v>1570</v>
      </c>
      <c r="B391" s="433" t="str">
        <f>'CDS-C'!$F$202</f>
        <v xml:space="preserve"> </v>
      </c>
    </row>
    <row r="392" spans="1:2" x14ac:dyDescent="0.35">
      <c r="A392" s="418" t="s">
        <v>1571</v>
      </c>
      <c r="B392" s="433" t="str">
        <f>'CDS-C'!$F$203</f>
        <v xml:space="preserve"> </v>
      </c>
    </row>
    <row r="393" spans="1:2" x14ac:dyDescent="0.35">
      <c r="A393" s="418" t="s">
        <v>1572</v>
      </c>
      <c r="B393" s="433" t="str">
        <f>'CDS-C'!$F$204</f>
        <v xml:space="preserve"> </v>
      </c>
    </row>
    <row r="394" spans="1:2" x14ac:dyDescent="0.35">
      <c r="A394" s="418" t="s">
        <v>1573</v>
      </c>
      <c r="B394" s="433" t="str">
        <f>'CDS-C'!$F$205</f>
        <v xml:space="preserve"> </v>
      </c>
    </row>
    <row r="395" spans="1:2" x14ac:dyDescent="0.35">
      <c r="A395" s="418" t="s">
        <v>1574</v>
      </c>
      <c r="B395" s="433" t="str">
        <f>'CDS-C'!$F$206</f>
        <v xml:space="preserve"> </v>
      </c>
    </row>
    <row r="396" spans="1:2" x14ac:dyDescent="0.35">
      <c r="A396" s="418" t="s">
        <v>1585</v>
      </c>
      <c r="B396" s="498">
        <f>'CDS-C'!$E$211</f>
        <v>25</v>
      </c>
    </row>
    <row r="397" spans="1:2" x14ac:dyDescent="0.35">
      <c r="A397" s="418" t="s">
        <v>1586</v>
      </c>
      <c r="B397" s="498">
        <f>'CDS-C'!$E$212</f>
        <v>53</v>
      </c>
    </row>
    <row r="398" spans="1:2" x14ac:dyDescent="0.35">
      <c r="A398" s="418" t="s">
        <v>1587</v>
      </c>
      <c r="B398" s="498">
        <f>'CDS-C'!$E$213</f>
        <v>95</v>
      </c>
    </row>
    <row r="399" spans="1:2" x14ac:dyDescent="0.35">
      <c r="A399" s="418" t="s">
        <v>1588</v>
      </c>
      <c r="B399" s="498">
        <f>'CDS-C'!$E$214</f>
        <v>5</v>
      </c>
    </row>
    <row r="400" spans="1:2" x14ac:dyDescent="0.35">
      <c r="A400" s="418" t="s">
        <v>1589</v>
      </c>
      <c r="B400" s="498">
        <f>'CDS-C'!$E$215</f>
        <v>0</v>
      </c>
    </row>
    <row r="401" spans="1:2" x14ac:dyDescent="0.35">
      <c r="A401" s="418" t="s">
        <v>1590</v>
      </c>
      <c r="B401" s="498">
        <f>'CDS-C'!$E$216</f>
        <v>51</v>
      </c>
    </row>
    <row r="402" spans="1:2" x14ac:dyDescent="0.35">
      <c r="A402" s="418" t="s">
        <v>1591</v>
      </c>
      <c r="B402" s="499">
        <f>'CDS-C'!$D$221</f>
        <v>30</v>
      </c>
    </row>
    <row r="403" spans="1:2" x14ac:dyDescent="0.35">
      <c r="A403" s="418" t="s">
        <v>1592</v>
      </c>
      <c r="B403" s="499">
        <f>'CDS-C'!$D$222</f>
        <v>16</v>
      </c>
    </row>
    <row r="404" spans="1:2" x14ac:dyDescent="0.35">
      <c r="A404" s="418" t="s">
        <v>1593</v>
      </c>
      <c r="B404" s="499">
        <f>'CDS-C'!$D$223</f>
        <v>19</v>
      </c>
    </row>
    <row r="405" spans="1:2" x14ac:dyDescent="0.35">
      <c r="A405" s="418" t="s">
        <v>1594</v>
      </c>
      <c r="B405" s="499">
        <f>'CDS-C'!$D$224</f>
        <v>15</v>
      </c>
    </row>
    <row r="406" spans="1:2" x14ac:dyDescent="0.35">
      <c r="A406" s="418" t="s">
        <v>1595</v>
      </c>
      <c r="B406" s="499">
        <f>'CDS-C'!$D$225</f>
        <v>10</v>
      </c>
    </row>
    <row r="407" spans="1:2" x14ac:dyDescent="0.35">
      <c r="A407" s="418" t="s">
        <v>1596</v>
      </c>
      <c r="B407" s="499">
        <f>'CDS-C'!$D$226</f>
        <v>10</v>
      </c>
    </row>
    <row r="408" spans="1:2" x14ac:dyDescent="0.35">
      <c r="A408" s="418" t="s">
        <v>1597</v>
      </c>
      <c r="B408" s="499">
        <f>'CDS-C'!$D$227</f>
        <v>0</v>
      </c>
    </row>
    <row r="409" spans="1:2" x14ac:dyDescent="0.35">
      <c r="A409" s="418" t="s">
        <v>1598</v>
      </c>
      <c r="B409" s="499">
        <f>'CDS-C'!$D$228</f>
        <v>0</v>
      </c>
    </row>
    <row r="410" spans="1:2" x14ac:dyDescent="0.35">
      <c r="A410" s="418" t="s">
        <v>1599</v>
      </c>
      <c r="B410" s="499">
        <f>'CDS-C'!$D$229</f>
        <v>0</v>
      </c>
    </row>
    <row r="411" spans="1:2" x14ac:dyDescent="0.35">
      <c r="A411" s="420" t="s">
        <v>892</v>
      </c>
      <c r="B411" s="447">
        <f>'CDS-B'!$C$16</f>
        <v>9</v>
      </c>
    </row>
    <row r="412" spans="1:2" x14ac:dyDescent="0.35">
      <c r="A412" s="420" t="s">
        <v>893</v>
      </c>
      <c r="B412" s="447">
        <f>'CDS-B'!$D$16</f>
        <v>8</v>
      </c>
    </row>
    <row r="413" spans="1:2" x14ac:dyDescent="0.35">
      <c r="A413" s="420" t="s">
        <v>894</v>
      </c>
      <c r="B413" s="447">
        <f>'CDS-B'!$F$16</f>
        <v>4</v>
      </c>
    </row>
    <row r="414" spans="1:2" x14ac:dyDescent="0.35">
      <c r="A414" s="420" t="s">
        <v>895</v>
      </c>
      <c r="B414" s="447">
        <f>'CDS-B'!$H$16</f>
        <v>0</v>
      </c>
    </row>
    <row r="415" spans="1:2" x14ac:dyDescent="0.35">
      <c r="A415" s="420" t="s">
        <v>896</v>
      </c>
      <c r="B415" s="447">
        <f>'CDS-B'!$C$17</f>
        <v>4</v>
      </c>
    </row>
    <row r="416" spans="1:2" x14ac:dyDescent="0.35">
      <c r="A416" s="67" t="s">
        <v>897</v>
      </c>
      <c r="B416" s="447">
        <f>'CDS-B'!$D$17</f>
        <v>8</v>
      </c>
    </row>
    <row r="417" spans="1:2" x14ac:dyDescent="0.35">
      <c r="A417" s="420" t="s">
        <v>898</v>
      </c>
      <c r="B417" s="447">
        <f>'CDS-B'!$F$17</f>
        <v>6</v>
      </c>
    </row>
    <row r="418" spans="1:2" x14ac:dyDescent="0.35">
      <c r="A418" s="420" t="s">
        <v>899</v>
      </c>
      <c r="B418" s="447">
        <f>'CDS-B'!$H$17</f>
        <v>0</v>
      </c>
    </row>
    <row r="419" spans="1:2" x14ac:dyDescent="0.35">
      <c r="A419" s="420" t="s">
        <v>900</v>
      </c>
      <c r="B419" s="447" t="e">
        <f>'CDS-B'!#REF!</f>
        <v>#REF!</v>
      </c>
    </row>
    <row r="420" spans="1:2" x14ac:dyDescent="0.35">
      <c r="A420" s="420" t="s">
        <v>901</v>
      </c>
      <c r="B420" s="447">
        <f>'CDS-B'!$D$18</f>
        <v>0</v>
      </c>
    </row>
    <row r="421" spans="1:2" x14ac:dyDescent="0.35">
      <c r="A421" s="420" t="s">
        <v>902</v>
      </c>
      <c r="B421" s="447">
        <f>'CDS-B'!$F$18</f>
        <v>3</v>
      </c>
    </row>
    <row r="422" spans="1:2" x14ac:dyDescent="0.35">
      <c r="A422" s="67" t="s">
        <v>903</v>
      </c>
      <c r="B422" s="447">
        <f>'CDS-B'!$H$18</f>
        <v>0</v>
      </c>
    </row>
    <row r="423" spans="1:2" x14ac:dyDescent="0.35">
      <c r="A423" s="420" t="s">
        <v>904</v>
      </c>
      <c r="B423" s="447">
        <f>'CDS-B'!$C$19</f>
        <v>13</v>
      </c>
    </row>
    <row r="424" spans="1:2" x14ac:dyDescent="0.35">
      <c r="A424" s="420" t="s">
        <v>905</v>
      </c>
      <c r="B424" s="447">
        <f>'CDS-B'!$D$19</f>
        <v>16</v>
      </c>
    </row>
    <row r="425" spans="1:2" x14ac:dyDescent="0.35">
      <c r="A425" s="420" t="s">
        <v>906</v>
      </c>
      <c r="B425" s="447">
        <f>'CDS-B'!$F$19</f>
        <v>13</v>
      </c>
    </row>
    <row r="426" spans="1:2" x14ac:dyDescent="0.35">
      <c r="A426" s="420" t="s">
        <v>907</v>
      </c>
      <c r="B426" s="447">
        <f>'CDS-B'!$H$19</f>
        <v>0</v>
      </c>
    </row>
    <row r="427" spans="1:2" x14ac:dyDescent="0.35">
      <c r="A427" s="67" t="s">
        <v>908</v>
      </c>
      <c r="B427" s="447">
        <f>SUM('CDS-B'!$C$19:$H$19)</f>
        <v>65</v>
      </c>
    </row>
    <row r="428" spans="1:2" x14ac:dyDescent="0.35">
      <c r="A428" s="67" t="s">
        <v>872</v>
      </c>
      <c r="B428" s="448">
        <f>'CDS-B'!$E$35</f>
        <v>113</v>
      </c>
    </row>
    <row r="429" spans="1:2" x14ac:dyDescent="0.35">
      <c r="A429" s="67" t="s">
        <v>873</v>
      </c>
      <c r="B429" s="448">
        <f>'CDS-B'!$E$36</f>
        <v>51</v>
      </c>
    </row>
    <row r="430" spans="1:2" x14ac:dyDescent="0.35">
      <c r="A430" s="67" t="s">
        <v>874</v>
      </c>
      <c r="B430" s="448">
        <f>'CDS-B'!$E$37</f>
        <v>45</v>
      </c>
    </row>
    <row r="431" spans="1:2" x14ac:dyDescent="0.35">
      <c r="A431" s="67" t="s">
        <v>875</v>
      </c>
      <c r="B431" s="448">
        <f>'CDS-B'!$E$38</f>
        <v>333</v>
      </c>
    </row>
    <row r="432" spans="1:2" x14ac:dyDescent="0.35">
      <c r="A432" s="67" t="s">
        <v>876</v>
      </c>
      <c r="B432" s="448">
        <f>'CDS-B'!$E$39</f>
        <v>0</v>
      </c>
    </row>
    <row r="433" spans="1:2" x14ac:dyDescent="0.35">
      <c r="A433" s="67" t="s">
        <v>877</v>
      </c>
      <c r="B433" s="448">
        <f>'CDS-B'!$E$40</f>
        <v>16</v>
      </c>
    </row>
    <row r="434" spans="1:2" x14ac:dyDescent="0.35">
      <c r="A434" s="67" t="s">
        <v>878</v>
      </c>
      <c r="B434" s="448">
        <f>'CDS-B'!$E$41</f>
        <v>0</v>
      </c>
    </row>
    <row r="435" spans="1:2" x14ac:dyDescent="0.35">
      <c r="A435" s="67" t="s">
        <v>879</v>
      </c>
      <c r="B435" s="448">
        <f>'CDS-B'!$E$42</f>
        <v>26</v>
      </c>
    </row>
    <row r="436" spans="1:2" x14ac:dyDescent="0.35">
      <c r="A436" s="67" t="s">
        <v>880</v>
      </c>
      <c r="B436" s="448">
        <f>'CDS-B'!$E$43</f>
        <v>5</v>
      </c>
    </row>
    <row r="437" spans="1:2" x14ac:dyDescent="0.35">
      <c r="A437" s="67" t="s">
        <v>881</v>
      </c>
      <c r="B437" s="448">
        <f>'CDS-B'!$E$44</f>
        <v>589</v>
      </c>
    </row>
    <row r="438" spans="1:2" x14ac:dyDescent="0.35">
      <c r="A438" s="67" t="s">
        <v>882</v>
      </c>
      <c r="B438" s="448" t="str">
        <f>'CDS-B'!$F$35</f>
        <v xml:space="preserve"> </v>
      </c>
    </row>
    <row r="439" spans="1:2" x14ac:dyDescent="0.35">
      <c r="A439" s="67" t="s">
        <v>883</v>
      </c>
      <c r="B439" s="448" t="str">
        <f>'CDS-B'!$F$36</f>
        <v xml:space="preserve"> </v>
      </c>
    </row>
    <row r="440" spans="1:2" x14ac:dyDescent="0.35">
      <c r="A440" s="67" t="s">
        <v>884</v>
      </c>
      <c r="B440" s="448" t="str">
        <f>'CDS-B'!$F$37</f>
        <v xml:space="preserve"> </v>
      </c>
    </row>
    <row r="441" spans="1:2" x14ac:dyDescent="0.35">
      <c r="A441" s="67" t="s">
        <v>885</v>
      </c>
      <c r="B441" s="448" t="str">
        <f>'CDS-B'!$F$38</f>
        <v xml:space="preserve"> </v>
      </c>
    </row>
    <row r="442" spans="1:2" x14ac:dyDescent="0.35">
      <c r="A442" s="67" t="s">
        <v>886</v>
      </c>
      <c r="B442" s="448" t="str">
        <f>'CDS-B'!$F$39</f>
        <v xml:space="preserve"> </v>
      </c>
    </row>
    <row r="443" spans="1:2" x14ac:dyDescent="0.35">
      <c r="A443" s="67" t="s">
        <v>887</v>
      </c>
      <c r="B443" s="448" t="str">
        <f>'CDS-B'!$F$40</f>
        <v xml:space="preserve"> </v>
      </c>
    </row>
    <row r="444" spans="1:2" x14ac:dyDescent="0.35">
      <c r="A444" s="67" t="s">
        <v>888</v>
      </c>
      <c r="B444" s="448" t="str">
        <f>'CDS-B'!$F$41</f>
        <v xml:space="preserve"> </v>
      </c>
    </row>
    <row r="445" spans="1:2" x14ac:dyDescent="0.35">
      <c r="A445" s="67" t="s">
        <v>889</v>
      </c>
      <c r="B445" s="448" t="str">
        <f>'CDS-B'!$F$42</f>
        <v xml:space="preserve"> </v>
      </c>
    </row>
    <row r="446" spans="1:2" x14ac:dyDescent="0.35">
      <c r="A446" s="67" t="s">
        <v>890</v>
      </c>
      <c r="B446" s="448" t="str">
        <f>'CDS-B'!$F$43</f>
        <v xml:space="preserve"> </v>
      </c>
    </row>
    <row r="447" spans="1:2" x14ac:dyDescent="0.35">
      <c r="A447" s="67" t="s">
        <v>891</v>
      </c>
      <c r="B447" s="448">
        <f>'CDS-B'!$F$44</f>
        <v>0</v>
      </c>
    </row>
    <row r="448" spans="1:2" x14ac:dyDescent="0.35">
      <c r="A448" s="67" t="s">
        <v>1500</v>
      </c>
      <c r="B448" s="448">
        <f>'CDS-B'!$E$9</f>
        <v>3</v>
      </c>
    </row>
    <row r="449" spans="1:2" x14ac:dyDescent="0.35">
      <c r="A449" s="67" t="s">
        <v>1501</v>
      </c>
      <c r="B449" s="448">
        <f>'CDS-B'!$H$9</f>
        <v>0</v>
      </c>
    </row>
    <row r="450" spans="1:2" x14ac:dyDescent="0.35">
      <c r="A450" s="420" t="s">
        <v>837</v>
      </c>
      <c r="B450" s="447">
        <f>'CDS-B'!$C$9</f>
        <v>87</v>
      </c>
    </row>
    <row r="451" spans="1:2" x14ac:dyDescent="0.35">
      <c r="A451" s="420" t="s">
        <v>838</v>
      </c>
      <c r="B451" s="448">
        <f>'CDS-B'!$D$9</f>
        <v>83</v>
      </c>
    </row>
    <row r="452" spans="1:2" x14ac:dyDescent="0.35">
      <c r="A452" s="420" t="s">
        <v>839</v>
      </c>
      <c r="B452" s="448">
        <f>'CDS-B'!$F$9</f>
        <v>0</v>
      </c>
    </row>
    <row r="453" spans="1:2" x14ac:dyDescent="0.35">
      <c r="A453" s="420" t="s">
        <v>840</v>
      </c>
      <c r="B453" s="448">
        <f>'CDS-B'!$H$9</f>
        <v>0</v>
      </c>
    </row>
    <row r="454" spans="1:2" x14ac:dyDescent="0.35">
      <c r="A454" s="67" t="s">
        <v>1502</v>
      </c>
      <c r="B454" s="448">
        <f>'CDS-B'!$E$10</f>
        <v>0</v>
      </c>
    </row>
    <row r="455" spans="1:2" x14ac:dyDescent="0.35">
      <c r="A455" s="67" t="s">
        <v>1503</v>
      </c>
      <c r="B455" s="448">
        <f>'CDS-B'!$H$10</f>
        <v>0</v>
      </c>
    </row>
    <row r="456" spans="1:2" x14ac:dyDescent="0.35">
      <c r="A456" s="420" t="s">
        <v>841</v>
      </c>
      <c r="B456" s="448">
        <f>'CDS-B'!$C$10</f>
        <v>0</v>
      </c>
    </row>
    <row r="457" spans="1:2" x14ac:dyDescent="0.35">
      <c r="A457" s="67" t="s">
        <v>842</v>
      </c>
      <c r="B457" s="448">
        <f>'CDS-B'!$D$10</f>
        <v>0</v>
      </c>
    </row>
    <row r="458" spans="1:2" x14ac:dyDescent="0.35">
      <c r="A458" s="420" t="s">
        <v>843</v>
      </c>
      <c r="B458" s="448">
        <f>'CDS-B'!$F$10</f>
        <v>0</v>
      </c>
    </row>
    <row r="459" spans="1:2" x14ac:dyDescent="0.35">
      <c r="A459" s="420" t="s">
        <v>844</v>
      </c>
      <c r="B459" s="448">
        <f>'CDS-B'!$H$10</f>
        <v>0</v>
      </c>
    </row>
    <row r="460" spans="1:2" x14ac:dyDescent="0.35">
      <c r="A460" s="67" t="s">
        <v>862</v>
      </c>
      <c r="B460" s="448">
        <f>'CDS-B'!$D$35</f>
        <v>28</v>
      </c>
    </row>
    <row r="461" spans="1:2" x14ac:dyDescent="0.35">
      <c r="A461" s="67" t="s">
        <v>863</v>
      </c>
      <c r="B461" s="448">
        <f>'CDS-B'!$D$36</f>
        <v>12</v>
      </c>
    </row>
    <row r="462" spans="1:2" x14ac:dyDescent="0.35">
      <c r="A462" s="67" t="s">
        <v>864</v>
      </c>
      <c r="B462" s="448">
        <f>'CDS-B'!$D$37</f>
        <v>11</v>
      </c>
    </row>
    <row r="463" spans="1:2" x14ac:dyDescent="0.35">
      <c r="A463" s="67" t="s">
        <v>865</v>
      </c>
      <c r="B463" s="448">
        <f>'CDS-B'!$D$38</f>
        <v>108</v>
      </c>
    </row>
    <row r="464" spans="1:2" x14ac:dyDescent="0.35">
      <c r="A464" s="67" t="s">
        <v>866</v>
      </c>
      <c r="B464" s="448">
        <f>'CDS-B'!$D$39</f>
        <v>0</v>
      </c>
    </row>
    <row r="465" spans="1:2" x14ac:dyDescent="0.35">
      <c r="A465" s="67" t="s">
        <v>867</v>
      </c>
      <c r="B465" s="448">
        <f>'CDS-B'!$D$40</f>
        <v>6</v>
      </c>
    </row>
    <row r="466" spans="1:2" x14ac:dyDescent="0.35">
      <c r="A466" s="67" t="s">
        <v>868</v>
      </c>
      <c r="B466" s="448">
        <f>'CDS-B'!$D$41</f>
        <v>0</v>
      </c>
    </row>
    <row r="467" spans="1:2" x14ac:dyDescent="0.35">
      <c r="A467" s="67" t="s">
        <v>869</v>
      </c>
      <c r="B467" s="448">
        <f>'CDS-B'!$D$42</f>
        <v>8</v>
      </c>
    </row>
    <row r="468" spans="1:2" x14ac:dyDescent="0.35">
      <c r="A468" s="67" t="s">
        <v>870</v>
      </c>
      <c r="B468" s="448">
        <f>'CDS-B'!$D$43</f>
        <v>0</v>
      </c>
    </row>
    <row r="469" spans="1:2" x14ac:dyDescent="0.35">
      <c r="A469" s="67" t="s">
        <v>871</v>
      </c>
      <c r="B469" s="448">
        <f>'CDS-B'!$D$44</f>
        <v>173</v>
      </c>
    </row>
    <row r="470" spans="1:2" x14ac:dyDescent="0.35">
      <c r="A470" s="67" t="s">
        <v>1845</v>
      </c>
      <c r="B470" s="447">
        <f>'CDS-B'!$E$16</f>
        <v>0</v>
      </c>
    </row>
    <row r="471" spans="1:2" x14ac:dyDescent="0.35">
      <c r="A471" s="67" t="s">
        <v>1669</v>
      </c>
      <c r="B471" s="448">
        <f>'CDS-B'!$H$16</f>
        <v>0</v>
      </c>
    </row>
    <row r="472" spans="1:2" x14ac:dyDescent="0.35">
      <c r="A472" s="67" t="s">
        <v>1670</v>
      </c>
      <c r="B472" s="447">
        <f>'CDS-B'!$E$17</f>
        <v>0</v>
      </c>
    </row>
    <row r="473" spans="1:2" x14ac:dyDescent="0.35">
      <c r="A473" s="67" t="s">
        <v>1671</v>
      </c>
      <c r="B473" s="447">
        <f>'CDS-B'!$H$17</f>
        <v>0</v>
      </c>
    </row>
    <row r="474" spans="1:2" x14ac:dyDescent="0.35">
      <c r="A474" s="67" t="s">
        <v>1672</v>
      </c>
      <c r="B474" s="447">
        <f>'CDS-B'!$E$18</f>
        <v>0</v>
      </c>
    </row>
    <row r="475" spans="1:2" x14ac:dyDescent="0.35">
      <c r="A475" s="67" t="s">
        <v>1673</v>
      </c>
      <c r="B475" s="447">
        <f>'CDS-B'!$H$18</f>
        <v>0</v>
      </c>
    </row>
    <row r="476" spans="1:2" x14ac:dyDescent="0.35">
      <c r="A476" s="67" t="s">
        <v>1674</v>
      </c>
      <c r="B476" s="447">
        <f>'CDS-B'!$E$19</f>
        <v>0</v>
      </c>
    </row>
    <row r="477" spans="1:2" x14ac:dyDescent="0.35">
      <c r="A477" s="67" t="s">
        <v>1675</v>
      </c>
      <c r="B477" s="447">
        <f>'CDS-B'!$H$19</f>
        <v>0</v>
      </c>
    </row>
    <row r="478" spans="1:2" x14ac:dyDescent="0.35">
      <c r="A478" s="67" t="s">
        <v>1504</v>
      </c>
      <c r="B478" s="448">
        <f>'CDS-B'!$E$11</f>
        <v>20</v>
      </c>
    </row>
    <row r="479" spans="1:2" x14ac:dyDescent="0.35">
      <c r="A479" s="67" t="s">
        <v>1505</v>
      </c>
      <c r="B479" s="448">
        <f>'CDS-B'!$H$11</f>
        <v>0</v>
      </c>
    </row>
    <row r="480" spans="1:2" x14ac:dyDescent="0.35">
      <c r="A480" s="420" t="s">
        <v>845</v>
      </c>
      <c r="B480" s="448">
        <f>'CDS-B'!$C$11</f>
        <v>184</v>
      </c>
    </row>
    <row r="481" spans="1:2" x14ac:dyDescent="0.35">
      <c r="A481" s="420" t="s">
        <v>846</v>
      </c>
      <c r="B481" s="448">
        <f>'CDS-B'!$D$11</f>
        <v>210</v>
      </c>
    </row>
    <row r="482" spans="1:2" x14ac:dyDescent="0.35">
      <c r="A482" s="420" t="s">
        <v>847</v>
      </c>
      <c r="B482" s="448">
        <f>'CDS-B'!$F$11</f>
        <v>2</v>
      </c>
    </row>
    <row r="483" spans="1:2" x14ac:dyDescent="0.35">
      <c r="A483" s="420" t="s">
        <v>848</v>
      </c>
      <c r="B483" s="448">
        <f>'CDS-B'!$H$11</f>
        <v>0</v>
      </c>
    </row>
    <row r="484" spans="1:2" x14ac:dyDescent="0.35">
      <c r="A484" s="67" t="s">
        <v>1506</v>
      </c>
      <c r="B484" s="448">
        <f>'CDS-B'!$E$12</f>
        <v>23</v>
      </c>
    </row>
    <row r="485" spans="1:2" x14ac:dyDescent="0.35">
      <c r="A485" s="67" t="s">
        <v>1507</v>
      </c>
      <c r="B485" s="448">
        <f>'CDS-B'!$H$12</f>
        <v>0</v>
      </c>
    </row>
    <row r="486" spans="1:2" x14ac:dyDescent="0.35">
      <c r="A486" s="420" t="s">
        <v>849</v>
      </c>
      <c r="B486" s="448">
        <f>'CDS-B'!$C$12</f>
        <v>271</v>
      </c>
    </row>
    <row r="487" spans="1:2" x14ac:dyDescent="0.35">
      <c r="A487" s="420" t="s">
        <v>850</v>
      </c>
      <c r="B487" s="448">
        <f>'CDS-B'!$D$12</f>
        <v>293</v>
      </c>
    </row>
    <row r="488" spans="1:2" x14ac:dyDescent="0.35">
      <c r="A488" s="420" t="s">
        <v>851</v>
      </c>
      <c r="B488" s="448">
        <f>'CDS-B'!$F$12</f>
        <v>2</v>
      </c>
    </row>
    <row r="489" spans="1:2" x14ac:dyDescent="0.35">
      <c r="A489" s="67" t="s">
        <v>852</v>
      </c>
      <c r="B489" s="448">
        <f>'CDS-B'!$H$12</f>
        <v>0</v>
      </c>
    </row>
    <row r="490" spans="1:2" x14ac:dyDescent="0.35">
      <c r="A490" s="67" t="s">
        <v>861</v>
      </c>
      <c r="B490" s="448">
        <f>SUM('CDS-B'!$C$14:$H$14)</f>
        <v>612</v>
      </c>
    </row>
    <row r="491" spans="1:2" x14ac:dyDescent="0.35">
      <c r="A491" s="67" t="s">
        <v>1508</v>
      </c>
      <c r="B491" s="448">
        <f>'CDS-B'!$E$13</f>
        <v>0</v>
      </c>
    </row>
    <row r="492" spans="1:2" x14ac:dyDescent="0.35">
      <c r="A492" s="67" t="s">
        <v>1509</v>
      </c>
      <c r="B492" s="448">
        <f>'CDS-B'!$H$13</f>
        <v>0</v>
      </c>
    </row>
    <row r="493" spans="1:2" x14ac:dyDescent="0.35">
      <c r="A493" s="420" t="s">
        <v>853</v>
      </c>
      <c r="B493" s="448">
        <f>'CDS-B'!$C$13</f>
        <v>9</v>
      </c>
    </row>
    <row r="494" spans="1:2" x14ac:dyDescent="0.35">
      <c r="A494" s="420" t="s">
        <v>854</v>
      </c>
      <c r="B494" s="448">
        <f>'CDS-B'!$D$13</f>
        <v>13</v>
      </c>
    </row>
    <row r="495" spans="1:2" x14ac:dyDescent="0.35">
      <c r="A495" s="420" t="s">
        <v>855</v>
      </c>
      <c r="B495" s="448">
        <f>'CDS-B'!$F$13</f>
        <v>0</v>
      </c>
    </row>
    <row r="496" spans="1:2" x14ac:dyDescent="0.35">
      <c r="A496" s="420" t="s">
        <v>856</v>
      </c>
      <c r="B496" s="448">
        <f>'CDS-B'!$H$13</f>
        <v>0</v>
      </c>
    </row>
    <row r="497" spans="1:2" x14ac:dyDescent="0.35">
      <c r="A497" s="67" t="s">
        <v>1510</v>
      </c>
      <c r="B497" s="448">
        <f>'CDS-B'!$E$14</f>
        <v>23</v>
      </c>
    </row>
    <row r="498" spans="1:2" x14ac:dyDescent="0.35">
      <c r="A498" s="67" t="s">
        <v>1663</v>
      </c>
      <c r="B498" s="448">
        <f>'CDS-B'!$H$14</f>
        <v>0</v>
      </c>
    </row>
    <row r="499" spans="1:2" x14ac:dyDescent="0.35">
      <c r="A499" s="420" t="s">
        <v>857</v>
      </c>
      <c r="B499" s="448">
        <f>'CDS-B'!$C$14</f>
        <v>280</v>
      </c>
    </row>
    <row r="500" spans="1:2" x14ac:dyDescent="0.35">
      <c r="A500" s="420" t="s">
        <v>858</v>
      </c>
      <c r="B500" s="448">
        <f>'CDS-B'!$D$14</f>
        <v>306</v>
      </c>
    </row>
    <row r="501" spans="1:2" x14ac:dyDescent="0.35">
      <c r="A501" s="420" t="s">
        <v>859</v>
      </c>
      <c r="B501" s="448">
        <f>'CDS-B'!$F$14</f>
        <v>2</v>
      </c>
    </row>
    <row r="502" spans="1:2" x14ac:dyDescent="0.35">
      <c r="A502" s="420" t="s">
        <v>860</v>
      </c>
      <c r="B502" s="448">
        <f>'CDS-B'!$H$14</f>
        <v>0</v>
      </c>
    </row>
    <row r="503" spans="1:2" x14ac:dyDescent="0.35">
      <c r="A503" s="67" t="s">
        <v>1109</v>
      </c>
      <c r="B503" s="449" t="str">
        <f>_xlfn.CONCAT('CDS-H'!$H$40:$H$42)</f>
        <v>Federal Methodology (FM)|</v>
      </c>
    </row>
    <row r="504" spans="1:2" x14ac:dyDescent="0.35">
      <c r="A504" s="67" t="s">
        <v>1110</v>
      </c>
      <c r="B504" s="450">
        <f>'CDS-H'!$E$46</f>
        <v>1279552</v>
      </c>
    </row>
    <row r="505" spans="1:2" x14ac:dyDescent="0.35">
      <c r="A505" s="67" t="s">
        <v>1111</v>
      </c>
      <c r="B505" s="450">
        <f>'CDS-H'!$F$46</f>
        <v>0</v>
      </c>
    </row>
    <row r="506" spans="1:2" x14ac:dyDescent="0.35">
      <c r="A506" s="67" t="s">
        <v>1112</v>
      </c>
      <c r="B506" s="450">
        <f>'CDS-H'!$E$47</f>
        <v>395097</v>
      </c>
    </row>
    <row r="507" spans="1:2" x14ac:dyDescent="0.35">
      <c r="A507" s="67" t="s">
        <v>1113</v>
      </c>
      <c r="B507" s="450">
        <f>'CDS-H'!$F$47</f>
        <v>0</v>
      </c>
    </row>
    <row r="508" spans="1:2" x14ac:dyDescent="0.35">
      <c r="A508" s="67" t="s">
        <v>1114</v>
      </c>
      <c r="B508" s="450">
        <f>'CDS-H'!$E$48</f>
        <v>14258280</v>
      </c>
    </row>
    <row r="509" spans="1:2" x14ac:dyDescent="0.35">
      <c r="A509" s="67" t="s">
        <v>1115</v>
      </c>
      <c r="B509" s="450">
        <f>'CDS-H'!$F$48</f>
        <v>7836387.1900000004</v>
      </c>
    </row>
    <row r="510" spans="1:2" x14ac:dyDescent="0.35">
      <c r="A510" s="67" t="s">
        <v>1116</v>
      </c>
      <c r="B510" s="450">
        <f>'CDS-H'!$E$49</f>
        <v>142721.34</v>
      </c>
    </row>
    <row r="511" spans="1:2" x14ac:dyDescent="0.35">
      <c r="A511" s="67" t="s">
        <v>1117</v>
      </c>
      <c r="B511" s="450">
        <f>'CDS-H'!$F$49</f>
        <v>53516.5</v>
      </c>
    </row>
    <row r="512" spans="1:2" x14ac:dyDescent="0.35">
      <c r="A512" s="67" t="s">
        <v>1118</v>
      </c>
      <c r="B512" s="450">
        <f>'CDS-H'!$E$50</f>
        <v>16075650.34</v>
      </c>
    </row>
    <row r="513" spans="1:2" x14ac:dyDescent="0.35">
      <c r="A513" s="67" t="s">
        <v>1119</v>
      </c>
      <c r="B513" s="451">
        <f>'CDS-H'!$F$50</f>
        <v>7889903.6900000004</v>
      </c>
    </row>
    <row r="514" spans="1:2" x14ac:dyDescent="0.35">
      <c r="A514" s="67" t="s">
        <v>1120</v>
      </c>
      <c r="B514" s="67">
        <f>'CDS-H'!$E$52</f>
        <v>1634667.34</v>
      </c>
    </row>
    <row r="515" spans="1:2" x14ac:dyDescent="0.35">
      <c r="A515" s="67" t="s">
        <v>1121</v>
      </c>
      <c r="B515" s="67">
        <f>'CDS-H'!$F$52</f>
        <v>732028.66</v>
      </c>
    </row>
    <row r="516" spans="1:2" x14ac:dyDescent="0.35">
      <c r="A516" s="67" t="s">
        <v>1122</v>
      </c>
      <c r="B516" s="67">
        <f>'CDS-H'!$E$53</f>
        <v>117492.3</v>
      </c>
    </row>
    <row r="517" spans="1:2" x14ac:dyDescent="0.35">
      <c r="A517" s="67" t="s">
        <v>1123</v>
      </c>
      <c r="B517" s="67">
        <f>'CDS-H'!$E$54</f>
        <v>120798.67</v>
      </c>
    </row>
    <row r="518" spans="1:2" x14ac:dyDescent="0.35">
      <c r="A518" s="67" t="s">
        <v>1124</v>
      </c>
      <c r="B518" s="67">
        <f>'CDS-H'!$F$54</f>
        <v>23.93</v>
      </c>
    </row>
    <row r="519" spans="1:2" x14ac:dyDescent="0.35">
      <c r="A519" s="67" t="s">
        <v>1125</v>
      </c>
      <c r="B519" s="67">
        <f>'CDS-H'!$E$55</f>
        <v>1872958.31</v>
      </c>
    </row>
    <row r="520" spans="1:2" x14ac:dyDescent="0.35">
      <c r="A520" s="67" t="s">
        <v>1126</v>
      </c>
      <c r="B520" s="67">
        <f>'CDS-H'!$F$55</f>
        <v>732052.59000000008</v>
      </c>
    </row>
    <row r="521" spans="1:2" x14ac:dyDescent="0.35">
      <c r="A521" s="67" t="s">
        <v>1127</v>
      </c>
      <c r="B521" s="67">
        <f>'CDS-H'!$E$56</f>
        <v>312618.62</v>
      </c>
    </row>
    <row r="522" spans="1:2" x14ac:dyDescent="0.35">
      <c r="A522" s="67" t="s">
        <v>1128</v>
      </c>
      <c r="B522" s="67">
        <f>'CDS-H'!$F$56</f>
        <v>650749.74</v>
      </c>
    </row>
    <row r="523" spans="1:2" x14ac:dyDescent="0.35">
      <c r="A523" s="67" t="s">
        <v>1129</v>
      </c>
      <c r="B523" s="67">
        <f>'CDS-H'!$E$57</f>
        <v>0</v>
      </c>
    </row>
    <row r="524" spans="1:2" x14ac:dyDescent="0.35">
      <c r="A524" s="67" t="s">
        <v>1130</v>
      </c>
      <c r="B524" s="67">
        <f>'CDS-H'!$F$57</f>
        <v>0</v>
      </c>
    </row>
    <row r="525" spans="1:2" x14ac:dyDescent="0.35">
      <c r="A525" s="67" t="s">
        <v>1131</v>
      </c>
      <c r="B525" s="67">
        <f>'CDS-H'!$E$58</f>
        <v>0</v>
      </c>
    </row>
    <row r="526" spans="1:2" x14ac:dyDescent="0.35">
      <c r="A526" s="67" t="s">
        <v>1132</v>
      </c>
      <c r="B526" s="67">
        <f>'CDS-H'!$F$58</f>
        <v>0</v>
      </c>
    </row>
    <row r="527" spans="1:2" x14ac:dyDescent="0.35">
      <c r="A527" s="67" t="s">
        <v>1133</v>
      </c>
      <c r="B527" s="67">
        <f>'CDS-H'!$D$67</f>
        <v>171</v>
      </c>
    </row>
    <row r="528" spans="1:2" x14ac:dyDescent="0.35">
      <c r="A528" s="67" t="s">
        <v>1134</v>
      </c>
      <c r="B528" s="67">
        <f>'CDS-H'!$E$67</f>
        <v>653</v>
      </c>
    </row>
    <row r="529" spans="1:2" x14ac:dyDescent="0.35">
      <c r="A529" s="67" t="s">
        <v>1135</v>
      </c>
      <c r="B529" s="67" t="str">
        <f>'CDS-H'!$F$67</f>
        <v xml:space="preserve"> </v>
      </c>
    </row>
    <row r="530" spans="1:2" x14ac:dyDescent="0.35">
      <c r="A530" s="67" t="s">
        <v>1136</v>
      </c>
      <c r="B530" s="67">
        <f>'CDS-H'!$D$68</f>
        <v>171</v>
      </c>
    </row>
    <row r="531" spans="1:2" x14ac:dyDescent="0.35">
      <c r="A531" s="67" t="s">
        <v>1137</v>
      </c>
      <c r="B531" s="67">
        <f>'CDS-H'!$E$68</f>
        <v>649</v>
      </c>
    </row>
    <row r="532" spans="1:2" x14ac:dyDescent="0.35">
      <c r="A532" s="67" t="s">
        <v>1138</v>
      </c>
      <c r="B532" s="67" t="str">
        <f>'CDS-H'!$F$68</f>
        <v xml:space="preserve"> </v>
      </c>
    </row>
    <row r="533" spans="1:2" x14ac:dyDescent="0.35">
      <c r="A533" s="423" t="s">
        <v>1139</v>
      </c>
      <c r="B533" s="67">
        <f>'CDS-H'!$D$69</f>
        <v>133</v>
      </c>
    </row>
    <row r="534" spans="1:2" x14ac:dyDescent="0.35">
      <c r="A534" s="423" t="s">
        <v>1140</v>
      </c>
      <c r="B534" s="67">
        <f>'CDS-H'!$E$69</f>
        <v>546</v>
      </c>
    </row>
    <row r="535" spans="1:2" x14ac:dyDescent="0.35">
      <c r="A535" s="423" t="s">
        <v>1141</v>
      </c>
      <c r="B535" s="67" t="str">
        <f>'CDS-H'!$F$69</f>
        <v xml:space="preserve"> </v>
      </c>
    </row>
    <row r="536" spans="1:2" x14ac:dyDescent="0.35">
      <c r="A536" s="423" t="s">
        <v>1142</v>
      </c>
      <c r="B536" s="67">
        <f>'CDS-H'!$D$70</f>
        <v>133</v>
      </c>
    </row>
    <row r="537" spans="1:2" x14ac:dyDescent="0.35">
      <c r="A537" s="423" t="s">
        <v>1143</v>
      </c>
      <c r="B537" s="67">
        <f>'CDS-H'!$E$70</f>
        <v>463</v>
      </c>
    </row>
    <row r="538" spans="1:2" x14ac:dyDescent="0.35">
      <c r="A538" s="423" t="s">
        <v>1144</v>
      </c>
      <c r="B538" s="67" t="str">
        <f>'CDS-H'!$F$70</f>
        <v xml:space="preserve"> </v>
      </c>
    </row>
    <row r="539" spans="1:2" x14ac:dyDescent="0.35">
      <c r="A539" s="423" t="s">
        <v>1145</v>
      </c>
      <c r="B539" s="67">
        <f>'CDS-H'!$D$71</f>
        <v>102</v>
      </c>
    </row>
    <row r="540" spans="1:2" x14ac:dyDescent="0.35">
      <c r="A540" s="423" t="s">
        <v>1146</v>
      </c>
      <c r="B540" s="452">
        <f>'CDS-H'!$E$71</f>
        <v>463</v>
      </c>
    </row>
    <row r="541" spans="1:2" x14ac:dyDescent="0.35">
      <c r="A541" s="423" t="s">
        <v>1147</v>
      </c>
      <c r="B541" s="67" t="str">
        <f>'CDS-H'!$F$71</f>
        <v xml:space="preserve"> </v>
      </c>
    </row>
    <row r="542" spans="1:2" x14ac:dyDescent="0.35">
      <c r="A542" s="423" t="s">
        <v>1148</v>
      </c>
      <c r="B542" s="67">
        <f>'CDS-H'!$D$72</f>
        <v>87</v>
      </c>
    </row>
    <row r="543" spans="1:2" x14ac:dyDescent="0.35">
      <c r="A543" s="423" t="s">
        <v>1149</v>
      </c>
      <c r="B543" s="67">
        <f>'CDS-H'!$E$72</f>
        <v>388</v>
      </c>
    </row>
    <row r="544" spans="1:2" x14ac:dyDescent="0.35">
      <c r="A544" s="423" t="s">
        <v>1150</v>
      </c>
      <c r="B544" s="67" t="str">
        <f>'CDS-H'!$F$72</f>
        <v xml:space="preserve"> </v>
      </c>
    </row>
    <row r="545" spans="1:2" x14ac:dyDescent="0.35">
      <c r="A545" s="423" t="s">
        <v>1151</v>
      </c>
      <c r="B545" s="67">
        <f>'CDS-H'!$D$73</f>
        <v>70</v>
      </c>
    </row>
    <row r="546" spans="1:2" x14ac:dyDescent="0.35">
      <c r="A546" s="423" t="s">
        <v>1152</v>
      </c>
      <c r="B546" s="67">
        <f>'CDS-H'!$E$73</f>
        <v>183</v>
      </c>
    </row>
    <row r="547" spans="1:2" x14ac:dyDescent="0.35">
      <c r="A547" s="423" t="s">
        <v>1153</v>
      </c>
      <c r="B547" s="67" t="str">
        <f>'CDS-H'!$F$73</f>
        <v xml:space="preserve"> </v>
      </c>
    </row>
    <row r="548" spans="1:2" x14ac:dyDescent="0.35">
      <c r="A548" s="423" t="s">
        <v>1154</v>
      </c>
      <c r="B548" s="67">
        <f>'CDS-H'!$D$74</f>
        <v>40</v>
      </c>
    </row>
    <row r="549" spans="1:2" x14ac:dyDescent="0.35">
      <c r="A549" s="423" t="s">
        <v>1155</v>
      </c>
      <c r="B549" s="67">
        <f>'CDS-H'!$E$74</f>
        <v>175</v>
      </c>
    </row>
    <row r="550" spans="1:2" x14ac:dyDescent="0.35">
      <c r="A550" s="423" t="s">
        <v>1156</v>
      </c>
      <c r="B550" s="67" t="str">
        <f>'CDS-H'!$F$74</f>
        <v xml:space="preserve"> </v>
      </c>
    </row>
    <row r="551" spans="1:2" x14ac:dyDescent="0.35">
      <c r="A551" s="423" t="s">
        <v>1157</v>
      </c>
      <c r="B551" s="67">
        <f>'CDS-H'!$D$75</f>
        <v>54</v>
      </c>
    </row>
    <row r="552" spans="1:2" x14ac:dyDescent="0.35">
      <c r="A552" s="423" t="s">
        <v>1158</v>
      </c>
      <c r="B552" s="67">
        <f>'CDS-H'!$E$75</f>
        <v>65</v>
      </c>
    </row>
    <row r="553" spans="1:2" x14ac:dyDescent="0.35">
      <c r="A553" s="423" t="s">
        <v>1159</v>
      </c>
      <c r="B553" s="67" t="str">
        <f>'CDS-H'!$F$75</f>
        <v xml:space="preserve"> </v>
      </c>
    </row>
    <row r="554" spans="1:2" x14ac:dyDescent="0.35">
      <c r="A554" s="423" t="s">
        <v>1160</v>
      </c>
      <c r="B554" s="67">
        <f>'CDS-H'!$D$76</f>
        <v>42330</v>
      </c>
    </row>
    <row r="555" spans="1:2" x14ac:dyDescent="0.35">
      <c r="A555" s="423" t="s">
        <v>1161</v>
      </c>
      <c r="B555" s="67">
        <f>'CDS-H'!$E$76</f>
        <v>42812</v>
      </c>
    </row>
    <row r="556" spans="1:2" x14ac:dyDescent="0.35">
      <c r="A556" s="423" t="s">
        <v>1162</v>
      </c>
      <c r="B556" s="67" t="str">
        <f>'CDS-H'!$F$76</f>
        <v xml:space="preserve"> </v>
      </c>
    </row>
    <row r="557" spans="1:2" x14ac:dyDescent="0.35">
      <c r="A557" s="423" t="s">
        <v>1163</v>
      </c>
      <c r="B557" s="67">
        <f>'CDS-H'!$D$77</f>
        <v>23343</v>
      </c>
    </row>
    <row r="558" spans="1:2" x14ac:dyDescent="0.35">
      <c r="A558" s="423" t="s">
        <v>1164</v>
      </c>
      <c r="B558" s="67">
        <f>'CDS-H'!$E$77</f>
        <v>30446</v>
      </c>
    </row>
    <row r="559" spans="1:2" x14ac:dyDescent="0.35">
      <c r="A559" s="423" t="s">
        <v>1165</v>
      </c>
      <c r="B559" s="67" t="str">
        <f>'CDS-H'!$F$77</f>
        <v xml:space="preserve"> </v>
      </c>
    </row>
    <row r="560" spans="1:2" x14ac:dyDescent="0.35">
      <c r="A560" s="423" t="s">
        <v>1166</v>
      </c>
      <c r="B560" s="67">
        <f>'CDS-H'!$D$78</f>
        <v>821</v>
      </c>
    </row>
    <row r="561" spans="1:2" x14ac:dyDescent="0.35">
      <c r="A561" s="423" t="s">
        <v>1167</v>
      </c>
      <c r="B561" s="67">
        <f>'CDS-H'!$E$78</f>
        <v>976</v>
      </c>
    </row>
    <row r="562" spans="1:2" x14ac:dyDescent="0.35">
      <c r="A562" s="423" t="s">
        <v>1168</v>
      </c>
      <c r="B562" s="67" t="str">
        <f>'CDS-H'!$F$78</f>
        <v xml:space="preserve"> </v>
      </c>
    </row>
    <row r="563" spans="1:2" x14ac:dyDescent="0.35">
      <c r="A563" s="423" t="s">
        <v>1169</v>
      </c>
      <c r="B563" s="67">
        <f>'CDS-H'!$D$79</f>
        <v>2435</v>
      </c>
    </row>
    <row r="564" spans="1:2" x14ac:dyDescent="0.35">
      <c r="A564" s="423" t="s">
        <v>1170</v>
      </c>
      <c r="B564" s="67">
        <f>'CDS-H'!$E$79</f>
        <v>7019</v>
      </c>
    </row>
    <row r="565" spans="1:2" x14ac:dyDescent="0.35">
      <c r="A565" s="423" t="s">
        <v>1171</v>
      </c>
      <c r="B565" s="67" t="str">
        <f>'CDS-H'!$F$79</f>
        <v xml:space="preserve"> </v>
      </c>
    </row>
    <row r="566" spans="1:2" x14ac:dyDescent="0.35">
      <c r="A566" s="423" t="s">
        <v>1172</v>
      </c>
      <c r="B566" s="67" t="str">
        <f>""&amp;'CDS-H'!$D$86</f>
        <v>38</v>
      </c>
    </row>
    <row r="567" spans="1:2" x14ac:dyDescent="0.35">
      <c r="A567" s="423" t="s">
        <v>1173</v>
      </c>
      <c r="B567" s="67">
        <f>'CDS-H'!$E$86</f>
        <v>101</v>
      </c>
    </row>
    <row r="568" spans="1:2" x14ac:dyDescent="0.35">
      <c r="A568" s="423" t="s">
        <v>1174</v>
      </c>
      <c r="B568" s="67" t="str">
        <f>'CDS-H'!$F$86</f>
        <v xml:space="preserve"> </v>
      </c>
    </row>
    <row r="569" spans="1:2" x14ac:dyDescent="0.35">
      <c r="A569" s="423" t="s">
        <v>1175</v>
      </c>
      <c r="B569" s="67">
        <f>'CDS-H'!$D$87</f>
        <v>31482</v>
      </c>
    </row>
    <row r="570" spans="1:2" x14ac:dyDescent="0.35">
      <c r="A570" s="423" t="s">
        <v>1176</v>
      </c>
      <c r="B570" s="67">
        <f>'CDS-H'!$E$87</f>
        <v>28924</v>
      </c>
    </row>
    <row r="571" spans="1:2" x14ac:dyDescent="0.35">
      <c r="A571" s="423" t="s">
        <v>1177</v>
      </c>
      <c r="B571" s="67" t="str">
        <f>'CDS-H'!$F$87</f>
        <v xml:space="preserve"> </v>
      </c>
    </row>
    <row r="572" spans="1:2" x14ac:dyDescent="0.35">
      <c r="A572" s="423" t="s">
        <v>1178</v>
      </c>
      <c r="B572" s="67">
        <f>'CDS-H'!$D$88</f>
        <v>0</v>
      </c>
    </row>
    <row r="573" spans="1:2" x14ac:dyDescent="0.35">
      <c r="A573" s="423" t="s">
        <v>1179</v>
      </c>
      <c r="B573" s="67">
        <f>'CDS-H'!$E$88</f>
        <v>0</v>
      </c>
    </row>
    <row r="574" spans="1:2" x14ac:dyDescent="0.35">
      <c r="A574" s="423" t="s">
        <v>1180</v>
      </c>
      <c r="B574" s="67" t="str">
        <f>'CDS-H'!$F$88</f>
        <v xml:space="preserve"> </v>
      </c>
    </row>
    <row r="575" spans="1:2" x14ac:dyDescent="0.35">
      <c r="A575" s="423" t="s">
        <v>1181</v>
      </c>
      <c r="B575" s="67" t="str">
        <f>'CDS-H'!$D$89</f>
        <v xml:space="preserve"> </v>
      </c>
    </row>
    <row r="576" spans="1:2" x14ac:dyDescent="0.35">
      <c r="A576" s="423" t="s">
        <v>1182</v>
      </c>
      <c r="B576" s="67" t="str">
        <f>'CDS-H'!$E$89</f>
        <v xml:space="preserve"> </v>
      </c>
    </row>
    <row r="577" spans="1:2" x14ac:dyDescent="0.35">
      <c r="A577" s="423" t="s">
        <v>1183</v>
      </c>
      <c r="B577" s="67" t="str">
        <f>'CDS-H'!$F$89</f>
        <v xml:space="preserve"> </v>
      </c>
    </row>
    <row r="578" spans="1:2" x14ac:dyDescent="0.35">
      <c r="A578" s="423" t="s">
        <v>1185</v>
      </c>
      <c r="B578" s="67">
        <f>'CDS-H'!$D$110</f>
        <v>104</v>
      </c>
    </row>
    <row r="579" spans="1:2" x14ac:dyDescent="0.35">
      <c r="A579" s="423" t="s">
        <v>1186</v>
      </c>
      <c r="B579" s="68">
        <f>'CDS-H'!$E$110</f>
        <v>55</v>
      </c>
    </row>
    <row r="580" spans="1:2" x14ac:dyDescent="0.35">
      <c r="A580" s="423" t="s">
        <v>1187</v>
      </c>
      <c r="B580" s="67">
        <f>'CDS-H'!$F$110</f>
        <v>25821</v>
      </c>
    </row>
    <row r="581" spans="1:2" x14ac:dyDescent="0.35">
      <c r="A581" s="423" t="s">
        <v>1188</v>
      </c>
      <c r="B581" s="67">
        <f>'CDS-H'!$D$111</f>
        <v>103</v>
      </c>
    </row>
    <row r="582" spans="1:2" x14ac:dyDescent="0.35">
      <c r="A582" s="423" t="s">
        <v>1189</v>
      </c>
      <c r="B582" s="68">
        <f>'CDS-H'!$E$111</f>
        <v>54</v>
      </c>
    </row>
    <row r="583" spans="1:2" x14ac:dyDescent="0.35">
      <c r="A583" s="423" t="s">
        <v>1190</v>
      </c>
      <c r="B583" s="67">
        <f>'CDS-H'!$F$111</f>
        <v>22058</v>
      </c>
    </row>
    <row r="584" spans="1:2" x14ac:dyDescent="0.35">
      <c r="A584" s="423" t="s">
        <v>1191</v>
      </c>
      <c r="B584" s="67">
        <f>'CDS-H'!$D$112</f>
        <v>0</v>
      </c>
    </row>
    <row r="585" spans="1:2" x14ac:dyDescent="0.35">
      <c r="A585" s="423" t="s">
        <v>1192</v>
      </c>
      <c r="B585" s="442">
        <f>'CDS-H'!$E$112</f>
        <v>0</v>
      </c>
    </row>
    <row r="586" spans="1:2" x14ac:dyDescent="0.35">
      <c r="A586" s="423" t="s">
        <v>1193</v>
      </c>
      <c r="B586" s="67">
        <f>'CDS-H'!$F$112</f>
        <v>0</v>
      </c>
    </row>
    <row r="587" spans="1:2" x14ac:dyDescent="0.35">
      <c r="A587" s="423" t="s">
        <v>1194</v>
      </c>
      <c r="B587" s="67">
        <f>'CDS-H'!$D$113</f>
        <v>0</v>
      </c>
    </row>
    <row r="588" spans="1:2" x14ac:dyDescent="0.35">
      <c r="A588" s="423" t="s">
        <v>1195</v>
      </c>
      <c r="B588" s="508">
        <f>'CDS-H'!$E$113</f>
        <v>0</v>
      </c>
    </row>
    <row r="589" spans="1:2" x14ac:dyDescent="0.35">
      <c r="A589" s="423" t="s">
        <v>1196</v>
      </c>
      <c r="B589" s="67">
        <f>'CDS-H'!$F$113</f>
        <v>0</v>
      </c>
    </row>
    <row r="590" spans="1:2" x14ac:dyDescent="0.35">
      <c r="A590" s="423" t="s">
        <v>1197</v>
      </c>
      <c r="B590" s="67">
        <f>'CDS-H'!$D$114</f>
        <v>14</v>
      </c>
    </row>
    <row r="591" spans="1:2" x14ac:dyDescent="0.35">
      <c r="A591" s="423" t="s">
        <v>1198</v>
      </c>
      <c r="B591" s="68">
        <f>'CDS-H'!$E$114</f>
        <v>7</v>
      </c>
    </row>
    <row r="592" spans="1:2" x14ac:dyDescent="0.35">
      <c r="A592" s="423" t="s">
        <v>1199</v>
      </c>
      <c r="B592" s="67">
        <f>'CDS-H'!$F$114</f>
        <v>29529</v>
      </c>
    </row>
    <row r="593" spans="1:3" x14ac:dyDescent="0.35">
      <c r="A593" s="423" t="s">
        <v>1184</v>
      </c>
      <c r="B593" s="68">
        <f>'CDS-H'!$F$103</f>
        <v>190</v>
      </c>
    </row>
    <row r="594" spans="1:3" x14ac:dyDescent="0.35">
      <c r="A594" s="423" t="s">
        <v>1200</v>
      </c>
      <c r="B594" s="67" t="str">
        <f>'CDS-H'!$H$121</f>
        <v>Institutional need-based grant or scholarship aid is available.|</v>
      </c>
    </row>
    <row r="595" spans="1:3" x14ac:dyDescent="0.35">
      <c r="A595" s="423" t="s">
        <v>1201</v>
      </c>
      <c r="B595" s="68" t="str">
        <f>""&amp;'CDS-H'!$F$125</f>
        <v>129</v>
      </c>
    </row>
    <row r="596" spans="1:3" x14ac:dyDescent="0.35">
      <c r="A596" s="423" t="s">
        <v>1202</v>
      </c>
      <c r="B596" s="67" t="str">
        <f>""&amp;'CDS-H'!$F$127</f>
        <v>51400</v>
      </c>
    </row>
    <row r="597" spans="1:3" x14ac:dyDescent="0.35">
      <c r="A597" s="423" t="s">
        <v>1203</v>
      </c>
      <c r="B597" s="67" t="str">
        <f>""&amp;'CDS-H'!$F$129</f>
        <v>6630596</v>
      </c>
    </row>
    <row r="598" spans="1:3" x14ac:dyDescent="0.35">
      <c r="A598" s="423" t="s">
        <v>1204</v>
      </c>
      <c r="B598" s="67" t="str">
        <f>_xlfn.CONCAT('CDS-H'!$H$133:$H$138)</f>
        <v>Institution's own financial aid form|</v>
      </c>
    </row>
    <row r="599" spans="1:3" x14ac:dyDescent="0.35">
      <c r="A599" s="423" t="s">
        <v>1205</v>
      </c>
      <c r="B599" s="67" t="str">
        <f>""&amp;'CDS-H'!$B$138</f>
        <v xml:space="preserve"> </v>
      </c>
    </row>
    <row r="600" spans="1:3" ht="34" customHeight="1" x14ac:dyDescent="0.35">
      <c r="A600" s="423" t="s">
        <v>1206</v>
      </c>
      <c r="B600" s="449" t="str">
        <f>_xlfn.CONCAT('CDS-H'!$H$144:$H$150)</f>
        <v>FAFSA|</v>
      </c>
    </row>
    <row r="601" spans="1:3" x14ac:dyDescent="0.35">
      <c r="A601" s="423" t="s">
        <v>1207</v>
      </c>
      <c r="B601" s="67" t="str">
        <f>""&amp;'CDS-H'!$B$151</f>
        <v xml:space="preserve"> </v>
      </c>
    </row>
    <row r="602" spans="1:3" x14ac:dyDescent="0.35">
      <c r="A602" s="517" t="s">
        <v>1209</v>
      </c>
      <c r="B602" s="456" t="str" cm="1">
        <f t="array" aca="1" ref="B602" ca="1">IF(AND(ISNUMBER(CELL("contents",C602)),(C602&gt;0)),TEXT(C602,"MM/DD"),"")</f>
        <v>03/01</v>
      </c>
      <c r="C602" s="515">
        <f>'CDS-H'!$D$154</f>
        <v>44986</v>
      </c>
    </row>
    <row r="603" spans="1:3" x14ac:dyDescent="0.35">
      <c r="A603" s="517" t="s">
        <v>1210</v>
      </c>
      <c r="B603" s="456" t="str" cm="1">
        <f t="array" aca="1" ref="B603" ca="1">IF(AND(ISNUMBER(CELL("contents",C603)),(C603&gt;0)),TEXT(C603,"MM/DD"),"")</f>
        <v>03/01</v>
      </c>
      <c r="C603" s="515">
        <f>'CDS-H'!$D$155</f>
        <v>44986</v>
      </c>
    </row>
    <row r="604" spans="1:3" x14ac:dyDescent="0.35">
      <c r="A604" s="423" t="s">
        <v>1208</v>
      </c>
      <c r="B604" s="520" t="str">
        <f>'CDS-H'!$H$157</f>
        <v>Yes</v>
      </c>
    </row>
    <row r="605" spans="1:3" x14ac:dyDescent="0.35">
      <c r="A605" s="517" t="s">
        <v>1211</v>
      </c>
      <c r="B605" s="456" t="str" cm="1">
        <f t="array" aca="1" ref="B605" ca="1">IF(AND(ISNUMBER(CELL("contents",C605)),(C605&gt;0)),TEXT(C605,"MM/DD"),"")</f>
        <v/>
      </c>
      <c r="C605" s="515" t="str">
        <f>'CDS-H'!$C$163</f>
        <v xml:space="preserve"> </v>
      </c>
    </row>
    <row r="606" spans="1:3" x14ac:dyDescent="0.35">
      <c r="A606" s="423" t="s">
        <v>1212</v>
      </c>
      <c r="B606" s="67" t="str">
        <f>'CDS-H'!$H$166</f>
        <v>Yes</v>
      </c>
    </row>
    <row r="607" spans="1:3" x14ac:dyDescent="0.35">
      <c r="A607" s="517" t="s">
        <v>1213</v>
      </c>
      <c r="B607" s="456" t="str" cm="1">
        <f t="array" aca="1" ref="B607" ca="1">IF(AND(ISNUMBER(CELL("contents",C607)),(C607&gt;0)),TEXT(C607,"MM/DD"),"")</f>
        <v>11/01</v>
      </c>
      <c r="C607" s="518">
        <f>'CDS-H'!$C$169</f>
        <v>45231</v>
      </c>
    </row>
    <row r="608" spans="1:3" x14ac:dyDescent="0.35">
      <c r="A608" s="423" t="s">
        <v>1222</v>
      </c>
      <c r="B608" s="453" t="str">
        <f>""&amp;'CDS-H'!$B$216</f>
        <v>Inspire Program: https://earlham.edu/cost-affordability/types-of-aid/inspire-program/</v>
      </c>
    </row>
    <row r="609" spans="1:3" x14ac:dyDescent="0.35">
      <c r="A609" s="423" t="s">
        <v>1223</v>
      </c>
      <c r="B609" s="67" t="str">
        <f>'CDS-H'!$H$222</f>
        <v>No</v>
      </c>
    </row>
    <row r="610" spans="1:3" x14ac:dyDescent="0.35">
      <c r="A610" s="423" t="s">
        <v>1220</v>
      </c>
      <c r="B610" s="67" t="str">
        <f>_xlfn.CONCAT('CDS-H'!$H$203:$H$213)</f>
        <v>Academics|Art|Minority Status|Music/Drama|Religious Affiliation|State/District Residency|</v>
      </c>
    </row>
    <row r="611" spans="1:3" x14ac:dyDescent="0.35">
      <c r="A611" s="423" t="s">
        <v>1221</v>
      </c>
      <c r="B611" s="67" t="str">
        <f>_xlfn.CONCAT('CDS-H'!$XFD$203:$XFD$213)</f>
        <v>Academics|Minority Status|State/District Residency|</v>
      </c>
    </row>
    <row r="612" spans="1:3" x14ac:dyDescent="0.35">
      <c r="A612" s="517" t="s">
        <v>1214</v>
      </c>
      <c r="B612" s="456" t="str" cm="1">
        <f t="array" aca="1" ref="B612" ca="1">IF(AND(ISNUMBER(CELL("contents",C612)),(C612&gt;0)),TEXT(C612,"MM/DD"),"")</f>
        <v>05/01</v>
      </c>
      <c r="C612" s="519">
        <f>'CDS-H'!$D$172</f>
        <v>45047</v>
      </c>
    </row>
    <row r="613" spans="1:3" x14ac:dyDescent="0.35">
      <c r="A613" s="423" t="s">
        <v>1215</v>
      </c>
      <c r="B613" s="454" t="str">
        <f>""&amp;'CDS-H'!$D$173</f>
        <v/>
      </c>
    </row>
    <row r="614" spans="1:3" x14ac:dyDescent="0.35">
      <c r="A614" s="423" t="s">
        <v>1216</v>
      </c>
      <c r="B614" s="67" t="str">
        <f>_xlfn.CONCAT('CDS-H'!$H$179:$H$186)</f>
        <v>Direct Subsidized Stafford Loans| Direct Unsubsidized Stafford Loans|Direct PLUS Loans|</v>
      </c>
    </row>
    <row r="615" spans="1:3" x14ac:dyDescent="0.35">
      <c r="A615" s="423" t="s">
        <v>1217</v>
      </c>
      <c r="B615" s="67" t="str">
        <f>""&amp;'CDS-H'!$B$187</f>
        <v/>
      </c>
    </row>
    <row r="616" spans="1:3" x14ac:dyDescent="0.35">
      <c r="A616" s="423" t="s">
        <v>1219</v>
      </c>
      <c r="B616" s="67" t="str">
        <f>""&amp;'CDS-H'!$B$199</f>
        <v/>
      </c>
    </row>
    <row r="617" spans="1:3" x14ac:dyDescent="0.35">
      <c r="A617" s="423" t="s">
        <v>1218</v>
      </c>
      <c r="B617" s="455" t="str">
        <f>_xlfn.CONCAT('CDS-H'!$H$191:$H$198)</f>
        <v>Federal Pell|SEOG|State scholarships/grants|Private Scholarships|College/university scholarship or grant aid from institutional funds|</v>
      </c>
    </row>
    <row r="618" spans="1:3" x14ac:dyDescent="0.35">
      <c r="A618" s="421" t="s">
        <v>581</v>
      </c>
      <c r="B618" s="456" t="str">
        <f>""&amp;'CDS-A'!$B$48</f>
        <v>https://earlham.edu/admissions/how-to-apply/undergraduate-admissions/</v>
      </c>
    </row>
    <row r="619" spans="1:3" x14ac:dyDescent="0.35">
      <c r="A619" s="421" t="s">
        <v>1661</v>
      </c>
      <c r="B619" s="456" t="str">
        <f>""&amp;'CDS-A'!$B$96</f>
        <v/>
      </c>
    </row>
    <row r="620" spans="1:3" x14ac:dyDescent="0.35">
      <c r="A620" s="421" t="s">
        <v>583</v>
      </c>
      <c r="B620" s="456" t="str">
        <f>""&amp;'CDS-A'!$D$36</f>
        <v>https://earlham.edu</v>
      </c>
    </row>
    <row r="621" spans="1:3" x14ac:dyDescent="0.35">
      <c r="A621" s="421" t="s">
        <v>593</v>
      </c>
      <c r="B621" s="421" t="str">
        <f>'CDS-A'!$D$6</f>
        <v>801 National Road West</v>
      </c>
    </row>
    <row r="622" spans="1:3" x14ac:dyDescent="0.35">
      <c r="A622" s="421" t="s">
        <v>592</v>
      </c>
      <c r="B622" s="421" t="str">
        <f>'CDS-A'!$D$7</f>
        <v xml:space="preserve"> </v>
      </c>
    </row>
    <row r="623" spans="1:3" x14ac:dyDescent="0.35">
      <c r="A623" s="421" t="s">
        <v>588</v>
      </c>
      <c r="B623" s="421" t="str">
        <f>'CDS-A'!$D$11</f>
        <v>Wayne</v>
      </c>
    </row>
    <row r="624" spans="1:3" x14ac:dyDescent="0.35">
      <c r="A624" s="421" t="s">
        <v>591</v>
      </c>
      <c r="B624" s="421" t="str">
        <f>'CDS-A'!$D$8</f>
        <v xml:space="preserve"> </v>
      </c>
    </row>
    <row r="625" spans="1:2" x14ac:dyDescent="0.35">
      <c r="A625" s="421" t="s">
        <v>590</v>
      </c>
      <c r="B625" s="421" t="str">
        <f>'CDS-A'!$D$9</f>
        <v>Richmond</v>
      </c>
    </row>
    <row r="626" spans="1:2" x14ac:dyDescent="0.35">
      <c r="A626" s="421" t="s">
        <v>589</v>
      </c>
      <c r="B626" s="421" t="str">
        <f>'CDS-A'!$D$10</f>
        <v>Indiana</v>
      </c>
    </row>
    <row r="627" spans="1:2" x14ac:dyDescent="0.35">
      <c r="A627" s="421" t="s">
        <v>587</v>
      </c>
      <c r="B627" s="456">
        <f>'CDS-A'!$D$12</f>
        <v>47374</v>
      </c>
    </row>
    <row r="628" spans="1:2" x14ac:dyDescent="0.35">
      <c r="A628" s="421" t="s">
        <v>586</v>
      </c>
      <c r="B628" s="456" t="str">
        <f>""&amp;'CDS-A'!$D$17</f>
        <v>institutionaleffectiveness@earlham.edu</v>
      </c>
    </row>
    <row r="629" spans="1:2" x14ac:dyDescent="0.35">
      <c r="A629" s="421" t="s">
        <v>585</v>
      </c>
      <c r="B629" s="456" t="str">
        <f>'CDS-A'!$H$20</f>
        <v>Yes</v>
      </c>
    </row>
    <row r="630" spans="1:2" x14ac:dyDescent="0.35">
      <c r="A630" s="421" t="s">
        <v>584</v>
      </c>
      <c r="B630" s="456" t="str">
        <f>'CDS-A'!$B$23</f>
        <v xml:space="preserve"> https://earlham.edu/about/leadership-and-governance/administrative-departments/institutional-effectiveness/common-data-set/</v>
      </c>
    </row>
    <row r="631" spans="1:2" x14ac:dyDescent="0.35">
      <c r="A631" s="420" t="s">
        <v>1676</v>
      </c>
      <c r="B631" s="456">
        <f>'CDS-A'!$D$37</f>
        <v>7659831600</v>
      </c>
    </row>
    <row r="632" spans="1:2" x14ac:dyDescent="0.35">
      <c r="A632" s="420" t="s">
        <v>1846</v>
      </c>
      <c r="B632" s="456" t="str">
        <f>'CDS-A'!$D$39</f>
        <v>801 National Road West</v>
      </c>
    </row>
    <row r="633" spans="1:2" x14ac:dyDescent="0.35">
      <c r="A633" s="420" t="s">
        <v>1677</v>
      </c>
      <c r="B633" s="456" t="str">
        <f>'CDS-A'!$D$40</f>
        <v>Richmond</v>
      </c>
    </row>
    <row r="634" spans="1:2" x14ac:dyDescent="0.35">
      <c r="A634" s="420" t="s">
        <v>1678</v>
      </c>
      <c r="B634" s="456" t="str">
        <f>'CDS-A'!$D$41</f>
        <v>Indiana</v>
      </c>
    </row>
    <row r="635" spans="1:2" x14ac:dyDescent="0.35">
      <c r="A635" s="420" t="s">
        <v>1679</v>
      </c>
      <c r="B635" s="456">
        <f>'CDS-A'!$D$43</f>
        <v>47374</v>
      </c>
    </row>
    <row r="636" spans="1:2" x14ac:dyDescent="0.35">
      <c r="A636" s="420" t="s">
        <v>1680</v>
      </c>
      <c r="B636" s="456" t="str">
        <f>'CDS-A'!$D$42</f>
        <v>USA</v>
      </c>
    </row>
    <row r="637" spans="1:2" x14ac:dyDescent="0.35">
      <c r="A637" s="420" t="s">
        <v>1681</v>
      </c>
      <c r="B637" s="456" t="str">
        <f>'CDS-A'!$D$45</f>
        <v xml:space="preserve"> admissions@earlham.edu</v>
      </c>
    </row>
    <row r="638" spans="1:2" x14ac:dyDescent="0.35">
      <c r="A638" s="420" t="s">
        <v>580</v>
      </c>
      <c r="B638" s="456" t="str">
        <f>'CDS-A'!$D$60</f>
        <v>Coeducational</v>
      </c>
    </row>
    <row r="639" spans="1:2" x14ac:dyDescent="0.35">
      <c r="A639" s="420" t="s">
        <v>579</v>
      </c>
      <c r="B639" s="456" t="str">
        <f>'CDS-A'!$E$66</f>
        <v>Semester</v>
      </c>
    </row>
    <row r="640" spans="1:2" ht="49" customHeight="1" x14ac:dyDescent="0.35">
      <c r="A640" s="420" t="s">
        <v>578</v>
      </c>
      <c r="B640" s="457" t="str">
        <f>_xlfn.CONCAT('CDS-A'!$H$79, 'CDS-A'!$H$80, 'CDS-A'!$H$81, 'CDS-A'!$H$82, 'CDS-A'!$H$83, 'CDS-A'!$H$84, 'CDS-A'!$H$85, 'CDS-A'!$H$86, 'CDS-A'!$H$87, 'CDS-A'!$H$88, 'CDS-A'!$H$89, 'CDS-A'!$H$90)</f>
        <v>Bachelor's|Postbachelor's certificate|Master's|</v>
      </c>
    </row>
    <row r="641" spans="1:2" x14ac:dyDescent="0.35">
      <c r="A641" s="420" t="s">
        <v>1682</v>
      </c>
      <c r="B641" s="421" t="str">
        <f>'CDS-A'!$D$4</f>
        <v>Rachael Reavis</v>
      </c>
    </row>
    <row r="642" spans="1:2" x14ac:dyDescent="0.35">
      <c r="A642" s="420" t="s">
        <v>1683</v>
      </c>
      <c r="B642" s="421" t="str">
        <f>'CDS-A'!$D$5</f>
        <v>Associate Professor of Psychology; Executive Director of Institutional Effectiveness</v>
      </c>
    </row>
    <row r="643" spans="1:2" x14ac:dyDescent="0.35">
      <c r="A643" s="420" t="s">
        <v>1684</v>
      </c>
      <c r="B643" s="458" t="str">
        <f>'CDS-A'!$D$13</f>
        <v xml:space="preserve"> </v>
      </c>
    </row>
    <row r="644" spans="1:2" x14ac:dyDescent="0.35">
      <c r="A644" s="420" t="s">
        <v>1685</v>
      </c>
      <c r="B644" s="458">
        <f>'CDS-A'!$D$14</f>
        <v>7659831200</v>
      </c>
    </row>
    <row r="645" spans="1:2" x14ac:dyDescent="0.35">
      <c r="A645" s="67" t="s">
        <v>917</v>
      </c>
      <c r="B645" s="67">
        <f>'CDS-I'!$I$25</f>
        <v>5</v>
      </c>
    </row>
    <row r="646" spans="1:2" x14ac:dyDescent="0.35">
      <c r="A646" s="67" t="s">
        <v>918</v>
      </c>
      <c r="B646" s="67" t="str">
        <f>'CDS-I'!$J$25</f>
        <v xml:space="preserve"> </v>
      </c>
    </row>
    <row r="647" spans="1:2" x14ac:dyDescent="0.35">
      <c r="A647" s="67" t="s">
        <v>923</v>
      </c>
      <c r="B647" s="67" t="str">
        <f>'CDS-I'!$I$28</f>
        <v xml:space="preserve"> </v>
      </c>
    </row>
    <row r="648" spans="1:2" x14ac:dyDescent="0.35">
      <c r="A648" s="67" t="s">
        <v>924</v>
      </c>
      <c r="B648" s="67" t="str">
        <f>'CDS-I'!$J$28</f>
        <v xml:space="preserve"> </v>
      </c>
    </row>
    <row r="649" spans="1:2" x14ac:dyDescent="0.35">
      <c r="A649" s="67" t="s">
        <v>925</v>
      </c>
      <c r="B649" s="67" t="str">
        <f>'CDS-I'!$I$29</f>
        <v xml:space="preserve"> </v>
      </c>
    </row>
    <row r="650" spans="1:2" x14ac:dyDescent="0.35">
      <c r="A650" s="67" t="s">
        <v>926</v>
      </c>
      <c r="B650" s="67" t="str">
        <f>'CDS-I'!$J$29</f>
        <v xml:space="preserve"> </v>
      </c>
    </row>
    <row r="651" spans="1:2" x14ac:dyDescent="0.35">
      <c r="A651" s="67" t="s">
        <v>927</v>
      </c>
      <c r="B651" s="67">
        <f>'CDS-I'!$I$30</f>
        <v>7</v>
      </c>
    </row>
    <row r="652" spans="1:2" x14ac:dyDescent="0.35">
      <c r="A652" s="67" t="s">
        <v>928</v>
      </c>
      <c r="B652" s="67">
        <f>'CDS-I'!$J$30</f>
        <v>2</v>
      </c>
    </row>
    <row r="653" spans="1:2" x14ac:dyDescent="0.35">
      <c r="A653" s="67" t="s">
        <v>922</v>
      </c>
      <c r="B653" s="67">
        <f>'CDS-I'!$J$27</f>
        <v>6</v>
      </c>
    </row>
    <row r="654" spans="1:2" x14ac:dyDescent="0.35">
      <c r="A654" s="67" t="s">
        <v>921</v>
      </c>
      <c r="B654" s="67">
        <f>'CDS-I'!$I$27</f>
        <v>9</v>
      </c>
    </row>
    <row r="655" spans="1:2" x14ac:dyDescent="0.35">
      <c r="A655" s="67" t="s">
        <v>909</v>
      </c>
      <c r="B655" s="67">
        <f>'CDS-I'!$I$21</f>
        <v>106</v>
      </c>
    </row>
    <row r="656" spans="1:2" x14ac:dyDescent="0.35">
      <c r="A656" s="67" t="s">
        <v>910</v>
      </c>
      <c r="B656" s="67">
        <f>'CDS-I'!$J$21</f>
        <v>11</v>
      </c>
    </row>
    <row r="657" spans="1:2" x14ac:dyDescent="0.35">
      <c r="A657" s="67" t="s">
        <v>911</v>
      </c>
      <c r="B657" s="67">
        <f>'CDS-I'!$I$22</f>
        <v>34</v>
      </c>
    </row>
    <row r="658" spans="1:2" x14ac:dyDescent="0.35">
      <c r="A658" s="67" t="s">
        <v>912</v>
      </c>
      <c r="B658" s="67">
        <f>'CDS-I'!$J$22</f>
        <v>2</v>
      </c>
    </row>
    <row r="659" spans="1:2" x14ac:dyDescent="0.35">
      <c r="A659" s="67" t="s">
        <v>913</v>
      </c>
      <c r="B659" s="67">
        <f>'CDS-I'!$I$23</f>
        <v>51</v>
      </c>
    </row>
    <row r="660" spans="1:2" x14ac:dyDescent="0.35">
      <c r="A660" s="67" t="s">
        <v>914</v>
      </c>
      <c r="B660" s="67">
        <f>'CDS-I'!$J$23</f>
        <v>4</v>
      </c>
    </row>
    <row r="661" spans="1:2" x14ac:dyDescent="0.35">
      <c r="A661" s="67" t="s">
        <v>915</v>
      </c>
      <c r="B661" s="67">
        <f>'CDS-I'!$I$24</f>
        <v>55</v>
      </c>
    </row>
    <row r="662" spans="1:2" x14ac:dyDescent="0.35">
      <c r="A662" s="67" t="s">
        <v>916</v>
      </c>
      <c r="B662" s="67">
        <f>'CDS-I'!$J$24</f>
        <v>7</v>
      </c>
    </row>
    <row r="663" spans="1:2" x14ac:dyDescent="0.35">
      <c r="A663" s="67" t="s">
        <v>919</v>
      </c>
      <c r="B663" s="67">
        <f>'CDS-I'!$I$26</f>
        <v>97</v>
      </c>
    </row>
    <row r="664" spans="1:2" x14ac:dyDescent="0.35">
      <c r="A664" s="67" t="s">
        <v>920</v>
      </c>
      <c r="B664" s="67">
        <f>'CDS-I'!$J$26</f>
        <v>5</v>
      </c>
    </row>
    <row r="665" spans="1:2" x14ac:dyDescent="0.35">
      <c r="A665" s="67" t="s">
        <v>929</v>
      </c>
      <c r="B665" s="68">
        <f>'CDS-I'!$G$36</f>
        <v>6</v>
      </c>
    </row>
    <row r="666" spans="1:2" x14ac:dyDescent="0.35">
      <c r="A666" s="67" t="s">
        <v>930</v>
      </c>
      <c r="B666" s="67">
        <f>'CDS-I'!$J$36</f>
        <v>610</v>
      </c>
    </row>
    <row r="667" spans="1:2" x14ac:dyDescent="0.35">
      <c r="A667" s="67" t="s">
        <v>931</v>
      </c>
      <c r="B667" s="67">
        <f>'CDS-I'!$J$37</f>
        <v>103</v>
      </c>
    </row>
    <row r="668" spans="1:2" x14ac:dyDescent="0.35">
      <c r="A668" s="67" t="s">
        <v>932</v>
      </c>
      <c r="B668" s="67">
        <f>'CDS-I'!$D$49</f>
        <v>97</v>
      </c>
    </row>
    <row r="669" spans="1:2" x14ac:dyDescent="0.35">
      <c r="A669" s="67" t="s">
        <v>933</v>
      </c>
      <c r="B669" s="67">
        <f>'CDS-I'!$E$49</f>
        <v>67</v>
      </c>
    </row>
    <row r="670" spans="1:2" x14ac:dyDescent="0.35">
      <c r="A670" s="67" t="s">
        <v>934</v>
      </c>
      <c r="B670" s="67">
        <f>'CDS-I'!$F$49</f>
        <v>21</v>
      </c>
    </row>
    <row r="671" spans="1:2" x14ac:dyDescent="0.35">
      <c r="A671" s="67" t="s">
        <v>935</v>
      </c>
      <c r="B671" s="67">
        <f>'CDS-I'!$G$49</f>
        <v>7</v>
      </c>
    </row>
    <row r="672" spans="1:2" x14ac:dyDescent="0.35">
      <c r="A672" s="67" t="s">
        <v>936</v>
      </c>
      <c r="B672" s="67">
        <f>'CDS-I'!$H$49</f>
        <v>1</v>
      </c>
    </row>
    <row r="673" spans="1:2" x14ac:dyDescent="0.35">
      <c r="A673" s="67" t="s">
        <v>937</v>
      </c>
      <c r="B673" s="67">
        <f>'CDS-I'!$I$49</f>
        <v>1</v>
      </c>
    </row>
    <row r="674" spans="1:2" x14ac:dyDescent="0.35">
      <c r="A674" s="67" t="s">
        <v>938</v>
      </c>
      <c r="B674" s="67" t="str">
        <f>'CDS-I'!$J$49</f>
        <v xml:space="preserve"> </v>
      </c>
    </row>
    <row r="675" spans="1:2" x14ac:dyDescent="0.35">
      <c r="A675" s="67" t="s">
        <v>939</v>
      </c>
      <c r="B675" s="67">
        <f>'CDS-I'!$K$49</f>
        <v>194</v>
      </c>
    </row>
    <row r="676" spans="1:2" x14ac:dyDescent="0.35">
      <c r="A676" s="67" t="s">
        <v>940</v>
      </c>
      <c r="B676" s="67">
        <f>'CDS-I'!$D$52</f>
        <v>4</v>
      </c>
    </row>
    <row r="677" spans="1:2" x14ac:dyDescent="0.35">
      <c r="A677" s="67" t="s">
        <v>941</v>
      </c>
      <c r="B677" s="67">
        <f>'CDS-I'!$E$52</f>
        <v>11</v>
      </c>
    </row>
    <row r="678" spans="1:2" x14ac:dyDescent="0.35">
      <c r="A678" s="67" t="s">
        <v>942</v>
      </c>
      <c r="B678" s="67" t="str">
        <f>'CDS-I'!$F$52</f>
        <v xml:space="preserve"> </v>
      </c>
    </row>
    <row r="679" spans="1:2" x14ac:dyDescent="0.35">
      <c r="A679" s="67" t="s">
        <v>943</v>
      </c>
      <c r="B679" s="67" t="str">
        <f>'CDS-I'!$G$52</f>
        <v xml:space="preserve"> </v>
      </c>
    </row>
    <row r="680" spans="1:2" x14ac:dyDescent="0.35">
      <c r="A680" s="67" t="s">
        <v>944</v>
      </c>
      <c r="B680" s="67" t="str">
        <f>'CDS-I'!$H$52</f>
        <v xml:space="preserve"> </v>
      </c>
    </row>
    <row r="681" spans="1:2" x14ac:dyDescent="0.35">
      <c r="A681" s="67" t="s">
        <v>945</v>
      </c>
      <c r="B681" s="67" t="str">
        <f>'CDS-I'!$I$52</f>
        <v xml:space="preserve"> </v>
      </c>
    </row>
    <row r="682" spans="1:2" x14ac:dyDescent="0.35">
      <c r="A682" s="67" t="s">
        <v>947</v>
      </c>
      <c r="B682" s="67" t="str">
        <f>'CDS-I'!$J$52</f>
        <v xml:space="preserve">  </v>
      </c>
    </row>
    <row r="683" spans="1:2" x14ac:dyDescent="0.35">
      <c r="A683" s="67" t="s">
        <v>946</v>
      </c>
      <c r="B683" s="67">
        <f>'CDS-I'!$K$52</f>
        <v>15</v>
      </c>
    </row>
    <row r="684" spans="1:2" x14ac:dyDescent="0.35">
      <c r="A684" s="67" t="s">
        <v>749</v>
      </c>
      <c r="B684" s="447">
        <f>'CDS-B'!$C$48</f>
        <v>1</v>
      </c>
    </row>
    <row r="685" spans="1:2" x14ac:dyDescent="0.35">
      <c r="A685" s="67" t="s">
        <v>750</v>
      </c>
      <c r="B685" s="447">
        <f>'CDS-B'!$C$49</f>
        <v>0</v>
      </c>
    </row>
    <row r="686" spans="1:2" x14ac:dyDescent="0.35">
      <c r="A686" s="67" t="s">
        <v>751</v>
      </c>
      <c r="B686" s="447">
        <f>'CDS-B'!$C$50</f>
        <v>204</v>
      </c>
    </row>
    <row r="687" spans="1:2" x14ac:dyDescent="0.35">
      <c r="A687" s="67" t="s">
        <v>752</v>
      </c>
      <c r="B687" s="447">
        <f>'CDS-B'!$C$51</f>
        <v>0</v>
      </c>
    </row>
    <row r="688" spans="1:2" x14ac:dyDescent="0.35">
      <c r="A688" s="67" t="s">
        <v>753</v>
      </c>
      <c r="B688" s="447">
        <f>'CDS-B'!$C$52</f>
        <v>31</v>
      </c>
    </row>
    <row r="689" spans="1:2" x14ac:dyDescent="0.35">
      <c r="A689" s="67" t="s">
        <v>754</v>
      </c>
      <c r="B689" s="447">
        <f>'CDS-B'!$C$53</f>
        <v>0</v>
      </c>
    </row>
    <row r="690" spans="1:2" x14ac:dyDescent="0.35">
      <c r="A690" s="67" t="s">
        <v>755</v>
      </c>
      <c r="B690" s="447">
        <f>'CDS-B'!$C$54</f>
        <v>0</v>
      </c>
    </row>
    <row r="691" spans="1:2" x14ac:dyDescent="0.35">
      <c r="A691" s="67" t="s">
        <v>756</v>
      </c>
      <c r="B691" s="447">
        <f>'CDS-B'!$C$55</f>
        <v>0</v>
      </c>
    </row>
    <row r="692" spans="1:2" x14ac:dyDescent="0.35">
      <c r="A692" s="67" t="s">
        <v>757</v>
      </c>
      <c r="B692" s="447">
        <f>'CDS-B'!$C$56</f>
        <v>0</v>
      </c>
    </row>
    <row r="693" spans="1:2" x14ac:dyDescent="0.35">
      <c r="A693" s="67" t="s">
        <v>835</v>
      </c>
      <c r="B693" s="500">
        <f>'CDS-B'!$F$103</f>
        <v>79.53</v>
      </c>
    </row>
    <row r="694" spans="1:2" x14ac:dyDescent="0.35">
      <c r="A694" s="67" t="s">
        <v>815</v>
      </c>
      <c r="B694" s="500" t="e">
        <f>INT('CDS-B'!$F$85)</f>
        <v>#VALUE!</v>
      </c>
    </row>
    <row r="695" spans="1:2" x14ac:dyDescent="0.35">
      <c r="A695" s="67" t="s">
        <v>1686</v>
      </c>
      <c r="B695" s="500" t="e">
        <f>INT('CDS-B'!$C$85)</f>
        <v>#VALUE!</v>
      </c>
    </row>
    <row r="696" spans="1:2" x14ac:dyDescent="0.35">
      <c r="A696" s="67" t="s">
        <v>1687</v>
      </c>
      <c r="B696" s="500" t="e">
        <f>INT('CDS-B'!$D$85)</f>
        <v>#VALUE!</v>
      </c>
    </row>
    <row r="697" spans="1:2" x14ac:dyDescent="0.35">
      <c r="A697" s="67" t="s">
        <v>1688</v>
      </c>
      <c r="B697" s="500">
        <f>INT('CDS-B'!$E$73)</f>
        <v>83</v>
      </c>
    </row>
    <row r="698" spans="1:2" x14ac:dyDescent="0.35">
      <c r="A698" s="67" t="s">
        <v>761</v>
      </c>
      <c r="B698" s="447">
        <f>'CDS-B'!$F$66</f>
        <v>355</v>
      </c>
    </row>
    <row r="699" spans="1:2" x14ac:dyDescent="0.35">
      <c r="A699" s="67" t="s">
        <v>777</v>
      </c>
      <c r="B699" s="447">
        <f>'CDS-B'!$F$78</f>
        <v>0</v>
      </c>
    </row>
    <row r="700" spans="1:2" x14ac:dyDescent="0.35">
      <c r="A700" s="67" t="s">
        <v>765</v>
      </c>
      <c r="B700" s="447">
        <f>'CDS-B'!$F$67</f>
        <v>0</v>
      </c>
    </row>
    <row r="701" spans="1:2" x14ac:dyDescent="0.35">
      <c r="A701" s="67" t="s">
        <v>781</v>
      </c>
      <c r="B701" s="447">
        <f>'CDS-B'!$F$79</f>
        <v>0</v>
      </c>
    </row>
    <row r="702" spans="1:2" x14ac:dyDescent="0.35">
      <c r="A702" s="67" t="s">
        <v>769</v>
      </c>
      <c r="B702" s="447">
        <f>'CDS-B'!$F$68</f>
        <v>355</v>
      </c>
    </row>
    <row r="703" spans="1:2" x14ac:dyDescent="0.35">
      <c r="A703" s="67" t="s">
        <v>785</v>
      </c>
      <c r="B703" s="447" t="e">
        <f>'CDS-B'!$F$80</f>
        <v>#VALUE!</v>
      </c>
    </row>
    <row r="704" spans="1:2" x14ac:dyDescent="0.35">
      <c r="A704" s="67" t="s">
        <v>773</v>
      </c>
      <c r="B704" s="447">
        <f>'CDS-B'!$F$69</f>
        <v>235</v>
      </c>
    </row>
    <row r="705" spans="1:2" x14ac:dyDescent="0.35">
      <c r="A705" s="67" t="s">
        <v>789</v>
      </c>
      <c r="B705" s="447">
        <f>'CDS-B'!$F$81</f>
        <v>0</v>
      </c>
    </row>
    <row r="706" spans="1:2" x14ac:dyDescent="0.35">
      <c r="A706" s="67" t="s">
        <v>793</v>
      </c>
      <c r="B706" s="447">
        <f>'CDS-B'!$F$70</f>
        <v>25</v>
      </c>
    </row>
    <row r="707" spans="1:2" x14ac:dyDescent="0.35">
      <c r="A707" s="67" t="s">
        <v>806</v>
      </c>
      <c r="B707" s="447">
        <f>'CDS-B'!$F$82</f>
        <v>0</v>
      </c>
    </row>
    <row r="708" spans="1:2" x14ac:dyDescent="0.35">
      <c r="A708" s="67" t="s">
        <v>801</v>
      </c>
      <c r="B708" s="447">
        <f>'CDS-B'!$F$72</f>
        <v>265</v>
      </c>
    </row>
    <row r="709" spans="1:2" x14ac:dyDescent="0.35">
      <c r="A709" s="67" t="s">
        <v>814</v>
      </c>
      <c r="B709" s="447">
        <f>'CDS-B'!$F$84</f>
        <v>0</v>
      </c>
    </row>
    <row r="710" spans="1:2" x14ac:dyDescent="0.35">
      <c r="A710" s="67" t="s">
        <v>810</v>
      </c>
      <c r="B710" s="447">
        <f>'CDS-B'!$F$83</f>
        <v>0</v>
      </c>
    </row>
    <row r="711" spans="1:2" x14ac:dyDescent="0.35">
      <c r="A711" s="67" t="s">
        <v>797</v>
      </c>
      <c r="B711" s="447">
        <f>'CDS-B'!$F$71</f>
        <v>5</v>
      </c>
    </row>
    <row r="712" spans="1:2" x14ac:dyDescent="0.35">
      <c r="A712" s="67" t="s">
        <v>811</v>
      </c>
      <c r="B712" s="447">
        <f>'CDS-B'!$C$84</f>
        <v>0</v>
      </c>
    </row>
    <row r="713" spans="1:2" x14ac:dyDescent="0.35">
      <c r="A713" s="67" t="s">
        <v>798</v>
      </c>
      <c r="B713" s="447">
        <f>'CDS-B'!$C$72</f>
        <v>67</v>
      </c>
    </row>
    <row r="714" spans="1:2" x14ac:dyDescent="0.35">
      <c r="A714" s="67" t="s">
        <v>799</v>
      </c>
      <c r="B714" s="447">
        <f>'CDS-B'!$D$72</f>
        <v>63</v>
      </c>
    </row>
    <row r="715" spans="1:2" x14ac:dyDescent="0.35">
      <c r="A715" s="67" t="s">
        <v>812</v>
      </c>
      <c r="B715" s="447">
        <f>'CDS-B'!$D$84</f>
        <v>0</v>
      </c>
    </row>
    <row r="716" spans="1:2" x14ac:dyDescent="0.35">
      <c r="A716" s="67" t="s">
        <v>813</v>
      </c>
      <c r="B716" s="447">
        <f>'CDS-B'!$E$84</f>
        <v>0</v>
      </c>
    </row>
    <row r="717" spans="1:2" x14ac:dyDescent="0.35">
      <c r="A717" s="67" t="s">
        <v>796</v>
      </c>
      <c r="B717" s="447">
        <f>'CDS-B'!$E$71</f>
        <v>3</v>
      </c>
    </row>
    <row r="718" spans="1:2" x14ac:dyDescent="0.35">
      <c r="A718" s="67" t="s">
        <v>800</v>
      </c>
      <c r="B718" s="447">
        <f>'CDS-B'!$E$72</f>
        <v>135</v>
      </c>
    </row>
    <row r="719" spans="1:2" x14ac:dyDescent="0.35">
      <c r="A719" s="67" t="s">
        <v>809</v>
      </c>
      <c r="B719" s="447" t="str">
        <f>'CDS-B'!$E$83</f>
        <v xml:space="preserve"> </v>
      </c>
    </row>
    <row r="720" spans="1:2" x14ac:dyDescent="0.35">
      <c r="A720" s="67" t="s">
        <v>794</v>
      </c>
      <c r="B720" s="447">
        <f>'CDS-B'!$C$71</f>
        <v>0</v>
      </c>
    </row>
    <row r="721" spans="1:2" x14ac:dyDescent="0.35">
      <c r="A721" s="67" t="s">
        <v>795</v>
      </c>
      <c r="B721" s="447">
        <f>'CDS-B'!$D$71</f>
        <v>2</v>
      </c>
    </row>
    <row r="722" spans="1:2" x14ac:dyDescent="0.35">
      <c r="A722" s="67" t="s">
        <v>808</v>
      </c>
      <c r="B722" s="447" t="str">
        <f>'CDS-B'!$D$83</f>
        <v xml:space="preserve"> </v>
      </c>
    </row>
    <row r="723" spans="1:2" x14ac:dyDescent="0.35">
      <c r="A723" s="67" t="s">
        <v>807</v>
      </c>
      <c r="B723" s="447" t="str">
        <f>'CDS-B'!$C$83</f>
        <v xml:space="preserve"> </v>
      </c>
    </row>
    <row r="724" spans="1:2" x14ac:dyDescent="0.35">
      <c r="A724" s="67" t="s">
        <v>790</v>
      </c>
      <c r="B724" s="447">
        <f>'CDS-B'!$C$70</f>
        <v>10</v>
      </c>
    </row>
    <row r="725" spans="1:2" x14ac:dyDescent="0.35">
      <c r="A725" s="67" t="s">
        <v>803</v>
      </c>
      <c r="B725" s="447" t="str">
        <f>'CDS-B'!$C$82</f>
        <v xml:space="preserve"> </v>
      </c>
    </row>
    <row r="726" spans="1:2" x14ac:dyDescent="0.35">
      <c r="A726" s="67" t="s">
        <v>804</v>
      </c>
      <c r="B726" s="447" t="str">
        <f>'CDS-B'!$D$82</f>
        <v xml:space="preserve"> </v>
      </c>
    </row>
    <row r="727" spans="1:2" x14ac:dyDescent="0.35">
      <c r="A727" s="67" t="s">
        <v>791</v>
      </c>
      <c r="B727" s="447">
        <f>'CDS-B'!$D$70</f>
        <v>6</v>
      </c>
    </row>
    <row r="728" spans="1:2" x14ac:dyDescent="0.35">
      <c r="A728" s="67" t="s">
        <v>792</v>
      </c>
      <c r="B728" s="447">
        <f>'CDS-B'!$E$70</f>
        <v>9</v>
      </c>
    </row>
    <row r="729" spans="1:2" x14ac:dyDescent="0.35">
      <c r="A729" s="67" t="s">
        <v>805</v>
      </c>
      <c r="B729" s="447" t="str">
        <f>'CDS-B'!$E$82</f>
        <v xml:space="preserve"> </v>
      </c>
    </row>
    <row r="730" spans="1:2" x14ac:dyDescent="0.35">
      <c r="A730" s="67" t="s">
        <v>770</v>
      </c>
      <c r="B730" s="447">
        <f>'CDS-B'!$C$69</f>
        <v>57</v>
      </c>
    </row>
    <row r="731" spans="1:2" x14ac:dyDescent="0.35">
      <c r="A731" s="67" t="s">
        <v>786</v>
      </c>
      <c r="B731" s="447" t="str">
        <f>'CDS-B'!$C$81</f>
        <v xml:space="preserve"> </v>
      </c>
    </row>
    <row r="732" spans="1:2" x14ac:dyDescent="0.35">
      <c r="A732" s="67" t="s">
        <v>787</v>
      </c>
      <c r="B732" s="447" t="str">
        <f>'CDS-B'!$D$81</f>
        <v xml:space="preserve"> </v>
      </c>
    </row>
    <row r="733" spans="1:2" x14ac:dyDescent="0.35">
      <c r="A733" s="67" t="s">
        <v>771</v>
      </c>
      <c r="B733" s="447">
        <f>'CDS-B'!$D$69</f>
        <v>55</v>
      </c>
    </row>
    <row r="734" spans="1:2" x14ac:dyDescent="0.35">
      <c r="A734" s="67" t="s">
        <v>772</v>
      </c>
      <c r="B734" s="447">
        <f>'CDS-B'!$E$69</f>
        <v>123</v>
      </c>
    </row>
    <row r="735" spans="1:2" x14ac:dyDescent="0.35">
      <c r="A735" s="67" t="s">
        <v>788</v>
      </c>
      <c r="B735" s="447" t="str">
        <f>'CDS-B'!$E$81</f>
        <v xml:space="preserve"> </v>
      </c>
    </row>
    <row r="736" spans="1:2" x14ac:dyDescent="0.35">
      <c r="A736" s="67" t="s">
        <v>782</v>
      </c>
      <c r="B736" s="447" t="e">
        <f>'CDS-B'!$C$80</f>
        <v>#VALUE!</v>
      </c>
    </row>
    <row r="737" spans="1:2" x14ac:dyDescent="0.35">
      <c r="A737" s="67" t="s">
        <v>766</v>
      </c>
      <c r="B737" s="447">
        <f>'CDS-B'!$C$68</f>
        <v>100</v>
      </c>
    </row>
    <row r="738" spans="1:2" x14ac:dyDescent="0.35">
      <c r="A738" s="67" t="s">
        <v>767</v>
      </c>
      <c r="B738" s="447">
        <f>'CDS-B'!$D$68</f>
        <v>94</v>
      </c>
    </row>
    <row r="739" spans="1:2" x14ac:dyDescent="0.35">
      <c r="A739" s="67" t="s">
        <v>783</v>
      </c>
      <c r="B739" s="447" t="e">
        <f>'CDS-B'!$D$80</f>
        <v>#VALUE!</v>
      </c>
    </row>
    <row r="740" spans="1:2" x14ac:dyDescent="0.35">
      <c r="A740" s="67" t="s">
        <v>784</v>
      </c>
      <c r="B740" s="447" t="e">
        <f>'CDS-B'!$E$80</f>
        <v>#VALUE!</v>
      </c>
    </row>
    <row r="741" spans="1:2" x14ac:dyDescent="0.35">
      <c r="A741" s="67" t="s">
        <v>768</v>
      </c>
      <c r="B741" s="447">
        <f>'CDS-B'!$E$68</f>
        <v>161</v>
      </c>
    </row>
    <row r="742" spans="1:2" x14ac:dyDescent="0.35">
      <c r="A742" s="67" t="s">
        <v>778</v>
      </c>
      <c r="B742" s="447" t="str">
        <f>'CDS-B'!$C$79</f>
        <v xml:space="preserve"> </v>
      </c>
    </row>
    <row r="743" spans="1:2" x14ac:dyDescent="0.35">
      <c r="A743" s="67" t="s">
        <v>762</v>
      </c>
      <c r="B743" s="447">
        <f>'CDS-B'!$C$67</f>
        <v>0</v>
      </c>
    </row>
    <row r="744" spans="1:2" x14ac:dyDescent="0.35">
      <c r="A744" s="67" t="s">
        <v>763</v>
      </c>
      <c r="B744" s="447">
        <f>'CDS-B'!$D$67</f>
        <v>0</v>
      </c>
    </row>
    <row r="745" spans="1:2" x14ac:dyDescent="0.35">
      <c r="A745" s="67" t="s">
        <v>779</v>
      </c>
      <c r="B745" s="447" t="str">
        <f>'CDS-B'!$D$79</f>
        <v xml:space="preserve"> </v>
      </c>
    </row>
    <row r="746" spans="1:2" x14ac:dyDescent="0.35">
      <c r="A746" s="67" t="s">
        <v>780</v>
      </c>
      <c r="B746" s="447" t="str">
        <f>'CDS-B'!$E$79</f>
        <v xml:space="preserve"> </v>
      </c>
    </row>
    <row r="747" spans="1:2" x14ac:dyDescent="0.35">
      <c r="A747" s="67" t="s">
        <v>764</v>
      </c>
      <c r="B747" s="447">
        <f>'CDS-B'!$E$67</f>
        <v>0</v>
      </c>
    </row>
    <row r="748" spans="1:2" x14ac:dyDescent="0.35">
      <c r="A748" s="67" t="s">
        <v>758</v>
      </c>
      <c r="B748" s="447">
        <f>'CDS-B'!$C$66</f>
        <v>100</v>
      </c>
    </row>
    <row r="749" spans="1:2" x14ac:dyDescent="0.35">
      <c r="A749" s="67" t="s">
        <v>774</v>
      </c>
      <c r="B749" s="447" t="str">
        <f>'CDS-B'!$C$78</f>
        <v xml:space="preserve"> </v>
      </c>
    </row>
    <row r="750" spans="1:2" x14ac:dyDescent="0.35">
      <c r="A750" s="67" t="s">
        <v>759</v>
      </c>
      <c r="B750" s="447">
        <f>'CDS-B'!$D$66</f>
        <v>94</v>
      </c>
    </row>
    <row r="751" spans="1:2" x14ac:dyDescent="0.35">
      <c r="A751" s="67" t="s">
        <v>775</v>
      </c>
      <c r="B751" s="447" t="str">
        <f>'CDS-B'!$D$78</f>
        <v xml:space="preserve"> </v>
      </c>
    </row>
    <row r="752" spans="1:2" x14ac:dyDescent="0.35">
      <c r="A752" s="67" t="s">
        <v>776</v>
      </c>
      <c r="B752" s="447" t="str">
        <f>'CDS-B'!$E$78</f>
        <v xml:space="preserve"> </v>
      </c>
    </row>
    <row r="753" spans="1:2" x14ac:dyDescent="0.35">
      <c r="A753" s="67" t="s">
        <v>760</v>
      </c>
      <c r="B753" s="447">
        <f>'CDS-B'!$E$66</f>
        <v>161</v>
      </c>
    </row>
    <row r="754" spans="1:2" x14ac:dyDescent="0.35">
      <c r="A754" s="67" t="s">
        <v>802</v>
      </c>
      <c r="B754" s="500">
        <f>INT('CDS-B'!$F$73)</f>
        <v>74</v>
      </c>
    </row>
    <row r="755" spans="1:2" x14ac:dyDescent="0.35">
      <c r="A755" s="67" t="s">
        <v>1689</v>
      </c>
      <c r="B755" s="500">
        <f>INT('CDS-B'!$C$73)</f>
        <v>67</v>
      </c>
    </row>
    <row r="756" spans="1:2" x14ac:dyDescent="0.35">
      <c r="A756" s="67" t="s">
        <v>1690</v>
      </c>
      <c r="B756" s="500">
        <f>INT('CDS-B'!$D$73)</f>
        <v>67</v>
      </c>
    </row>
    <row r="757" spans="1:2" x14ac:dyDescent="0.35">
      <c r="A757" s="67" t="s">
        <v>1691</v>
      </c>
      <c r="B757" s="500" t="e">
        <f>INT('CDS-B'!$E$85)</f>
        <v>#VALUE!</v>
      </c>
    </row>
    <row r="758" spans="1:2" x14ac:dyDescent="0.35">
      <c r="A758" s="67" t="s">
        <v>816</v>
      </c>
      <c r="B758" s="447">
        <f>'CDS-B'!$E$89</f>
        <v>0</v>
      </c>
    </row>
    <row r="759" spans="1:2" x14ac:dyDescent="0.35">
      <c r="A759" s="67" t="s">
        <v>817</v>
      </c>
      <c r="B759" s="447">
        <f>'CDS-B'!$F$89</f>
        <v>0</v>
      </c>
    </row>
    <row r="760" spans="1:2" x14ac:dyDescent="0.35">
      <c r="A760" s="67" t="s">
        <v>836</v>
      </c>
      <c r="B760" s="447">
        <f>'CDS-B'!$F$90</f>
        <v>0</v>
      </c>
    </row>
    <row r="761" spans="1:2" x14ac:dyDescent="0.35">
      <c r="A761" s="67" t="s">
        <v>818</v>
      </c>
      <c r="B761" s="447">
        <f>'CDS-B'!$E$90</f>
        <v>0</v>
      </c>
    </row>
    <row r="762" spans="1:2" x14ac:dyDescent="0.35">
      <c r="A762" s="67" t="s">
        <v>819</v>
      </c>
      <c r="B762" s="447">
        <f>'CDS-B'!$E$91</f>
        <v>0</v>
      </c>
    </row>
    <row r="763" spans="1:2" x14ac:dyDescent="0.35">
      <c r="A763" s="67" t="s">
        <v>820</v>
      </c>
      <c r="B763" s="447">
        <f>'CDS-B'!$F$91</f>
        <v>0</v>
      </c>
    </row>
    <row r="764" spans="1:2" x14ac:dyDescent="0.35">
      <c r="A764" s="67" t="s">
        <v>821</v>
      </c>
      <c r="B764" s="447">
        <f>'CDS-B'!$E$92</f>
        <v>0</v>
      </c>
    </row>
    <row r="765" spans="1:2" x14ac:dyDescent="0.35">
      <c r="A765" s="67" t="s">
        <v>822</v>
      </c>
      <c r="B765" s="447">
        <f>'CDS-B'!$F$92</f>
        <v>0</v>
      </c>
    </row>
    <row r="766" spans="1:2" x14ac:dyDescent="0.35">
      <c r="A766" s="67" t="s">
        <v>823</v>
      </c>
      <c r="B766" s="447">
        <f>'CDS-B'!$E$93</f>
        <v>0</v>
      </c>
    </row>
    <row r="767" spans="1:2" x14ac:dyDescent="0.35">
      <c r="A767" s="67" t="s">
        <v>824</v>
      </c>
      <c r="B767" s="447">
        <f>'CDS-B'!$F$93</f>
        <v>0</v>
      </c>
    </row>
    <row r="768" spans="1:2" x14ac:dyDescent="0.35">
      <c r="A768" s="67" t="s">
        <v>825</v>
      </c>
      <c r="B768" s="447">
        <f>'CDS-B'!$E$94</f>
        <v>0</v>
      </c>
    </row>
    <row r="769" spans="1:2" x14ac:dyDescent="0.35">
      <c r="A769" s="67" t="s">
        <v>826</v>
      </c>
      <c r="B769" s="447">
        <f>'CDS-B'!$F$94</f>
        <v>0</v>
      </c>
    </row>
    <row r="770" spans="1:2" x14ac:dyDescent="0.35">
      <c r="A770" s="67" t="s">
        <v>827</v>
      </c>
      <c r="B770" s="447">
        <f>'CDS-B'!$E$95</f>
        <v>0</v>
      </c>
    </row>
    <row r="771" spans="1:2" x14ac:dyDescent="0.35">
      <c r="A771" s="67" t="s">
        <v>828</v>
      </c>
      <c r="B771" s="447">
        <f>'CDS-B'!$F$95</f>
        <v>0</v>
      </c>
    </row>
    <row r="772" spans="1:2" x14ac:dyDescent="0.35">
      <c r="A772" s="67" t="s">
        <v>829</v>
      </c>
      <c r="B772" s="447">
        <f>'CDS-B'!$E$96</f>
        <v>0</v>
      </c>
    </row>
    <row r="773" spans="1:2" x14ac:dyDescent="0.35">
      <c r="A773" s="67" t="s">
        <v>830</v>
      </c>
      <c r="B773" s="447">
        <f>'CDS-B'!$F$96</f>
        <v>0</v>
      </c>
    </row>
    <row r="774" spans="1:2" x14ac:dyDescent="0.35">
      <c r="A774" s="67" t="s">
        <v>834</v>
      </c>
      <c r="B774" s="447">
        <f>'CDS-B'!$F$98</f>
        <v>0</v>
      </c>
    </row>
    <row r="775" spans="1:2" x14ac:dyDescent="0.35">
      <c r="A775" s="67" t="s">
        <v>833</v>
      </c>
      <c r="B775" s="447">
        <f>'CDS-B'!$E$98</f>
        <v>0</v>
      </c>
    </row>
    <row r="776" spans="1:2" x14ac:dyDescent="0.35">
      <c r="A776" s="67" t="s">
        <v>831</v>
      </c>
      <c r="B776" s="447">
        <f>'CDS-B'!$E$97</f>
        <v>0</v>
      </c>
    </row>
    <row r="777" spans="1:2" x14ac:dyDescent="0.35">
      <c r="A777" s="67" t="s">
        <v>832</v>
      </c>
      <c r="B777" s="447">
        <f>'CDS-B'!$F$97</f>
        <v>0</v>
      </c>
    </row>
    <row r="778" spans="1:2" x14ac:dyDescent="0.35">
      <c r="A778" s="421" t="s">
        <v>1853</v>
      </c>
      <c r="B778" s="456" t="str">
        <f>_xlfn.CONCAT('CDS-C'!$H$142:$H$148)</f>
        <v/>
      </c>
    </row>
    <row r="779" spans="1:2" x14ac:dyDescent="0.35">
      <c r="A779" s="421" t="s">
        <v>1933</v>
      </c>
      <c r="B779" s="456" t="str">
        <f>""&amp;'CDS-C'!$C$148</f>
        <v/>
      </c>
    </row>
    <row r="780" spans="1:2" x14ac:dyDescent="0.35">
      <c r="A780" s="421" t="s">
        <v>1946</v>
      </c>
      <c r="B780" s="456" t="str">
        <f>""&amp;'CDS-C'!$C$67</f>
        <v xml:space="preserve"> </v>
      </c>
    </row>
    <row r="781" spans="1:2" x14ac:dyDescent="0.35">
      <c r="A781" s="421" t="s">
        <v>1947</v>
      </c>
      <c r="B781" s="456" t="str">
        <f>""&amp;'CDS-C'!$C$68</f>
        <v>4</v>
      </c>
    </row>
    <row r="782" spans="1:2" x14ac:dyDescent="0.35">
      <c r="A782" s="421" t="s">
        <v>1948</v>
      </c>
      <c r="B782" s="456" t="str">
        <f>""&amp;'CDS-C'!$C$69</f>
        <v>3</v>
      </c>
    </row>
    <row r="783" spans="1:2" x14ac:dyDescent="0.35">
      <c r="A783" s="421" t="s">
        <v>1949</v>
      </c>
      <c r="B783" s="456" t="str">
        <f>""&amp;'CDS-C'!$C$70</f>
        <v>3</v>
      </c>
    </row>
    <row r="784" spans="1:2" x14ac:dyDescent="0.35">
      <c r="A784" s="421" t="s">
        <v>1950</v>
      </c>
      <c r="B784" s="456" t="str">
        <f>""&amp;'CDS-C'!$C$71</f>
        <v>2</v>
      </c>
    </row>
    <row r="785" spans="1:2" x14ac:dyDescent="0.35">
      <c r="A785" s="421" t="s">
        <v>1951</v>
      </c>
      <c r="B785" s="456" t="str">
        <f>""&amp;'CDS-C'!$C$72</f>
        <v>2</v>
      </c>
    </row>
    <row r="786" spans="1:2" x14ac:dyDescent="0.35">
      <c r="A786" s="421" t="s">
        <v>1952</v>
      </c>
      <c r="B786" s="456" t="str">
        <f>""&amp;'CDS-C'!$C$73</f>
        <v>2</v>
      </c>
    </row>
    <row r="787" spans="1:2" x14ac:dyDescent="0.35">
      <c r="A787" s="421" t="s">
        <v>1953</v>
      </c>
      <c r="B787" s="456" t="str">
        <f>""&amp;'CDS-C'!$C$74</f>
        <v xml:space="preserve"> </v>
      </c>
    </row>
    <row r="788" spans="1:2" x14ac:dyDescent="0.35">
      <c r="A788" s="421" t="s">
        <v>1954</v>
      </c>
      <c r="B788" s="456" t="str">
        <f>""&amp;'CDS-C'!$C$75</f>
        <v xml:space="preserve"> </v>
      </c>
    </row>
    <row r="789" spans="1:2" x14ac:dyDescent="0.35">
      <c r="A789" s="421" t="s">
        <v>1955</v>
      </c>
      <c r="B789" s="456" t="str">
        <f>""&amp;'CDS-C'!$C$76</f>
        <v xml:space="preserve"> </v>
      </c>
    </row>
    <row r="790" spans="1:2" x14ac:dyDescent="0.35">
      <c r="A790" s="421" t="s">
        <v>1966</v>
      </c>
      <c r="B790" s="456" t="str">
        <f>""&amp;'CDS-C'!$C$77</f>
        <v xml:space="preserve"> </v>
      </c>
    </row>
    <row r="791" spans="1:2" x14ac:dyDescent="0.35">
      <c r="A791" s="421" t="s">
        <v>1957</v>
      </c>
      <c r="B791" s="456" t="str">
        <f>""&amp;'CDS-C'!$D$67</f>
        <v xml:space="preserve"> </v>
      </c>
    </row>
    <row r="792" spans="1:2" x14ac:dyDescent="0.35">
      <c r="A792" s="421" t="s">
        <v>1958</v>
      </c>
      <c r="B792" s="456" t="str">
        <f>""&amp;'CDS-C'!$D$68</f>
        <v>4</v>
      </c>
    </row>
    <row r="793" spans="1:2" x14ac:dyDescent="0.35">
      <c r="A793" s="421" t="s">
        <v>1959</v>
      </c>
      <c r="B793" s="456" t="str">
        <f>""&amp;'CDS-C'!$D$69</f>
        <v>4</v>
      </c>
    </row>
    <row r="794" spans="1:2" x14ac:dyDescent="0.35">
      <c r="A794" s="421" t="s">
        <v>1960</v>
      </c>
      <c r="B794" s="456" t="str">
        <f>""&amp;'CDS-C'!$D$70</f>
        <v>4</v>
      </c>
    </row>
    <row r="795" spans="1:2" x14ac:dyDescent="0.35">
      <c r="A795" s="421" t="s">
        <v>1961</v>
      </c>
      <c r="B795" s="456" t="str">
        <f>""&amp;'CDS-C'!$D$71</f>
        <v>2</v>
      </c>
    </row>
    <row r="796" spans="1:2" x14ac:dyDescent="0.35">
      <c r="A796" s="421" t="s">
        <v>1962</v>
      </c>
      <c r="B796" s="456" t="str">
        <f>""&amp;'CDS-C'!$D$72</f>
        <v>2</v>
      </c>
    </row>
    <row r="797" spans="1:2" x14ac:dyDescent="0.35">
      <c r="A797" s="421" t="s">
        <v>1963</v>
      </c>
      <c r="B797" s="456" t="str">
        <f>""&amp;'CDS-C'!$D$73</f>
        <v>2</v>
      </c>
    </row>
    <row r="798" spans="1:2" x14ac:dyDescent="0.35">
      <c r="A798" s="421" t="s">
        <v>1964</v>
      </c>
      <c r="B798" s="456" t="str">
        <f>""&amp;'CDS-C'!$D$74</f>
        <v xml:space="preserve"> </v>
      </c>
    </row>
    <row r="799" spans="1:2" x14ac:dyDescent="0.35">
      <c r="A799" s="421" t="s">
        <v>1965</v>
      </c>
      <c r="B799" s="456" t="str">
        <f>""&amp;'CDS-C'!$D$75</f>
        <v xml:space="preserve"> </v>
      </c>
    </row>
    <row r="800" spans="1:2" x14ac:dyDescent="0.35">
      <c r="A800" s="421" t="s">
        <v>1956</v>
      </c>
      <c r="B800" s="456" t="str">
        <f>""&amp;'CDS-C'!$D$76</f>
        <v xml:space="preserve"> </v>
      </c>
    </row>
    <row r="801" spans="1:2" x14ac:dyDescent="0.35">
      <c r="A801" s="421" t="s">
        <v>1967</v>
      </c>
      <c r="B801" s="456" t="str">
        <f>""&amp;'CDS-C'!$D$77</f>
        <v xml:space="preserve"> </v>
      </c>
    </row>
  </sheetData>
  <sheetProtection algorithmName="SHA-512" hashValue="7tlQHHw1g+lvwwVVy60+pRrzIKdGrJ8qWYrtlYVsp6E9bbHk6CJ/bhR/yc0O5ewy7apYErlOlaixA57E6xvEfQ==" saltValue="K5kR2BBX/9By+N2RmrlH0A==" spinCount="100000" sheet="1" objects="1" scenarios="1"/>
  <autoFilter ref="A1:B777" xr:uid="{54ED4ADD-E53E-934A-B27F-B8E6A03A0E84}">
    <sortState ref="A2:B775">
      <sortCondition ref="A2:A777"/>
    </sortState>
  </autoFilter>
  <phoneticPr fontId="50" type="noConversion"/>
  <conditionalFormatting sqref="B354:B512">
    <cfRule type="containsText" dxfId="2" priority="4" operator="containsText" text="Bachelor">
      <formula>NOT(ISERROR(SEARCH("Bachelor",B354)))</formula>
    </cfRule>
  </conditionalFormatting>
  <conditionalFormatting sqref="A603:A1048576 A1:A601">
    <cfRule type="duplicateValues" dxfId="1" priority="3"/>
  </conditionalFormatting>
  <conditionalFormatting sqref="A602">
    <cfRule type="duplicateValues" dxfId="0" priority="1"/>
  </conditionalFormatting>
  <dataValidations disablePrompts="1" count="1">
    <dataValidation type="decimal" allowBlank="1" showInputMessage="1" showErrorMessage="1" sqref="B382" xr:uid="{7EDAD375-7E31-AD45-A5B5-877E5F65B096}">
      <formula1>0</formula1>
      <formula2>100</formula2>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45ABB-2B31-2E49-BF30-D59CC22DF0EC}">
  <dimension ref="A1:Q61"/>
  <sheetViews>
    <sheetView showGridLines="0" showRowColHeaders="0" showRuler="0" topLeftCell="A18" zoomScale="140" zoomScaleNormal="140" zoomScalePageLayoutView="115" workbookViewId="0">
      <selection activeCell="G36" sqref="G36"/>
    </sheetView>
  </sheetViews>
  <sheetFormatPr defaultColWidth="0" defaultRowHeight="0" customHeight="1" zeroHeight="1" x14ac:dyDescent="0.25"/>
  <cols>
    <col min="1" max="2" width="3.6640625" style="1" customWidth="1"/>
    <col min="3" max="3" width="10.6640625" style="1" customWidth="1"/>
    <col min="4" max="11" width="8.83203125" style="1" customWidth="1"/>
    <col min="12" max="12" width="9.1640625" style="1" customWidth="1"/>
    <col min="13" max="16384" width="0" style="1" hidden="1"/>
  </cols>
  <sheetData>
    <row r="1" spans="1:17" ht="18" x14ac:dyDescent="0.25">
      <c r="A1" s="548" t="s">
        <v>244</v>
      </c>
      <c r="B1" s="548"/>
      <c r="C1" s="548"/>
      <c r="D1" s="548"/>
      <c r="E1" s="548"/>
      <c r="F1" s="548"/>
      <c r="G1" s="548"/>
      <c r="H1" s="548"/>
      <c r="I1" s="548"/>
      <c r="J1" s="548"/>
      <c r="K1" s="548"/>
    </row>
    <row r="2" spans="1:17" ht="12.5" x14ac:dyDescent="0.25"/>
    <row r="3" spans="1:17" ht="42" customHeight="1" x14ac:dyDescent="0.25">
      <c r="A3" s="66" t="s">
        <v>225</v>
      </c>
      <c r="B3" s="821" t="s">
        <v>1884</v>
      </c>
      <c r="C3" s="727"/>
      <c r="D3" s="727"/>
      <c r="E3" s="727"/>
      <c r="F3" s="727"/>
      <c r="G3" s="727"/>
      <c r="H3" s="727"/>
      <c r="I3" s="727"/>
      <c r="J3" s="727"/>
      <c r="K3" s="727"/>
    </row>
    <row r="4" spans="1:17" ht="66" customHeight="1" x14ac:dyDescent="0.25">
      <c r="B4" s="822" t="s">
        <v>243</v>
      </c>
      <c r="C4" s="823"/>
      <c r="D4" s="823"/>
      <c r="E4" s="823"/>
      <c r="F4" s="823"/>
      <c r="G4" s="823"/>
      <c r="H4" s="823"/>
      <c r="I4" s="823"/>
      <c r="J4" s="823"/>
      <c r="K4" s="824"/>
    </row>
    <row r="5" spans="1:17" s="80" customFormat="1" ht="12.5" x14ac:dyDescent="0.35">
      <c r="B5" s="81"/>
      <c r="C5" s="84"/>
      <c r="D5" s="83"/>
      <c r="E5" s="83"/>
      <c r="F5" s="83"/>
      <c r="G5" s="83"/>
      <c r="H5" s="83"/>
      <c r="I5" s="82"/>
      <c r="J5" s="81" t="s">
        <v>242</v>
      </c>
      <c r="K5" s="81" t="s">
        <v>241</v>
      </c>
    </row>
    <row r="6" spans="1:17" s="57" customFormat="1" ht="65" customHeight="1" x14ac:dyDescent="0.35">
      <c r="B6" s="79" t="s">
        <v>62</v>
      </c>
      <c r="C6" s="825" t="s">
        <v>240</v>
      </c>
      <c r="D6" s="825"/>
      <c r="E6" s="825"/>
      <c r="F6" s="825"/>
      <c r="G6" s="825"/>
      <c r="H6" s="825"/>
      <c r="I6" s="825"/>
      <c r="J6" s="78" t="s">
        <v>102</v>
      </c>
      <c r="K6" s="78" t="s">
        <v>239</v>
      </c>
    </row>
    <row r="7" spans="1:17" s="57" customFormat="1" ht="57" customHeight="1" x14ac:dyDescent="0.35">
      <c r="B7" s="79" t="s">
        <v>63</v>
      </c>
      <c r="C7" s="825" t="s">
        <v>238</v>
      </c>
      <c r="D7" s="825"/>
      <c r="E7" s="825"/>
      <c r="F7" s="825"/>
      <c r="G7" s="825"/>
      <c r="H7" s="825"/>
      <c r="I7" s="825"/>
      <c r="J7" s="78" t="s">
        <v>102</v>
      </c>
      <c r="K7" s="78" t="s">
        <v>237</v>
      </c>
    </row>
    <row r="8" spans="1:17" s="57" customFormat="1" ht="24.75" customHeight="1" x14ac:dyDescent="0.35">
      <c r="B8" s="79" t="s">
        <v>65</v>
      </c>
      <c r="C8" s="818" t="s">
        <v>236</v>
      </c>
      <c r="D8" s="818"/>
      <c r="E8" s="818"/>
      <c r="F8" s="818"/>
      <c r="G8" s="818"/>
      <c r="H8" s="818"/>
      <c r="I8" s="818"/>
      <c r="J8" s="78" t="s">
        <v>102</v>
      </c>
      <c r="K8" s="78" t="s">
        <v>231</v>
      </c>
    </row>
    <row r="9" spans="1:17" s="57" customFormat="1" ht="25.5" customHeight="1" x14ac:dyDescent="0.35">
      <c r="B9" s="79" t="s">
        <v>67</v>
      </c>
      <c r="C9" s="818" t="s">
        <v>235</v>
      </c>
      <c r="D9" s="818"/>
      <c r="E9" s="818"/>
      <c r="F9" s="818"/>
      <c r="G9" s="818"/>
      <c r="H9" s="818"/>
      <c r="I9" s="818"/>
      <c r="J9" s="78" t="s">
        <v>102</v>
      </c>
      <c r="K9" s="78" t="s">
        <v>102</v>
      </c>
    </row>
    <row r="10" spans="1:17" s="57" customFormat="1" ht="12.5" x14ac:dyDescent="0.35">
      <c r="B10" s="79" t="s">
        <v>69</v>
      </c>
      <c r="C10" s="818" t="s">
        <v>234</v>
      </c>
      <c r="D10" s="818"/>
      <c r="E10" s="818"/>
      <c r="F10" s="818"/>
      <c r="G10" s="818"/>
      <c r="H10" s="818"/>
      <c r="I10" s="818"/>
      <c r="J10" s="78" t="s">
        <v>231</v>
      </c>
      <c r="K10" s="78" t="s">
        <v>102</v>
      </c>
    </row>
    <row r="11" spans="1:17" s="57" customFormat="1" ht="12.5" x14ac:dyDescent="0.35">
      <c r="B11" s="79" t="s">
        <v>71</v>
      </c>
      <c r="C11" s="818" t="s">
        <v>233</v>
      </c>
      <c r="D11" s="818"/>
      <c r="E11" s="818"/>
      <c r="F11" s="818"/>
      <c r="G11" s="818"/>
      <c r="H11" s="818"/>
      <c r="I11" s="818"/>
      <c r="J11" s="78" t="s">
        <v>102</v>
      </c>
      <c r="K11" s="78" t="s">
        <v>102</v>
      </c>
    </row>
    <row r="12" spans="1:17" s="57" customFormat="1" ht="12.5" x14ac:dyDescent="0.35">
      <c r="B12" s="79" t="s">
        <v>73</v>
      </c>
      <c r="C12" s="818" t="s">
        <v>232</v>
      </c>
      <c r="D12" s="818"/>
      <c r="E12" s="818"/>
      <c r="F12" s="818"/>
      <c r="G12" s="818"/>
      <c r="H12" s="818"/>
      <c r="I12" s="818"/>
      <c r="J12" s="78" t="s">
        <v>102</v>
      </c>
      <c r="K12" s="78" t="s">
        <v>231</v>
      </c>
    </row>
    <row r="13" spans="1:17" ht="12.75" customHeight="1" x14ac:dyDescent="0.3">
      <c r="B13" s="77"/>
      <c r="C13" s="77"/>
      <c r="D13" s="77"/>
      <c r="E13" s="77"/>
      <c r="F13" s="77"/>
      <c r="G13" s="77"/>
      <c r="H13" s="77"/>
      <c r="I13" s="77"/>
      <c r="J13" s="77"/>
      <c r="K13" s="77"/>
      <c r="Q13" s="76"/>
    </row>
    <row r="14" spans="1:17" ht="31.5" customHeight="1" x14ac:dyDescent="0.25">
      <c r="B14" s="819" t="s">
        <v>230</v>
      </c>
      <c r="C14" s="820"/>
      <c r="D14" s="820"/>
      <c r="E14" s="820"/>
      <c r="F14" s="820"/>
      <c r="G14" s="820"/>
      <c r="H14" s="820"/>
      <c r="I14" s="820"/>
      <c r="J14" s="820"/>
      <c r="K14" s="820"/>
    </row>
    <row r="15" spans="1:17" ht="55.5" customHeight="1" x14ac:dyDescent="0.25">
      <c r="B15" s="819" t="s">
        <v>229</v>
      </c>
      <c r="C15" s="820"/>
      <c r="D15" s="820"/>
      <c r="E15" s="820"/>
      <c r="F15" s="820"/>
      <c r="G15" s="820"/>
      <c r="H15" s="820"/>
      <c r="I15" s="820"/>
      <c r="J15" s="820"/>
      <c r="K15" s="820"/>
    </row>
    <row r="16" spans="1:17" ht="32.25" customHeight="1" x14ac:dyDescent="0.25">
      <c r="B16" s="819" t="s">
        <v>228</v>
      </c>
      <c r="C16" s="819"/>
      <c r="D16" s="819"/>
      <c r="E16" s="819"/>
      <c r="F16" s="819"/>
      <c r="G16" s="819"/>
      <c r="H16" s="819"/>
      <c r="I16" s="819"/>
      <c r="J16" s="819"/>
      <c r="K16" s="819"/>
    </row>
    <row r="17" spans="1:11" ht="67.5" customHeight="1" x14ac:dyDescent="0.25">
      <c r="B17" s="819" t="s">
        <v>227</v>
      </c>
      <c r="C17" s="820"/>
      <c r="D17" s="820"/>
      <c r="E17" s="820"/>
      <c r="F17" s="820"/>
      <c r="G17" s="820"/>
      <c r="H17" s="820"/>
      <c r="I17" s="820"/>
      <c r="J17" s="820"/>
      <c r="K17" s="820"/>
    </row>
    <row r="18" spans="1:11" ht="26.25" customHeight="1" x14ac:dyDescent="0.25">
      <c r="B18" s="819" t="s">
        <v>226</v>
      </c>
      <c r="C18" s="820"/>
      <c r="D18" s="820"/>
      <c r="E18" s="820"/>
      <c r="F18" s="820"/>
      <c r="G18" s="820"/>
      <c r="H18" s="820"/>
      <c r="I18" s="820"/>
      <c r="J18" s="820"/>
      <c r="K18" s="820"/>
    </row>
    <row r="19" spans="1:11" ht="12.5" x14ac:dyDescent="0.25">
      <c r="C19" s="35"/>
      <c r="D19" s="35"/>
      <c r="E19" s="35"/>
      <c r="F19" s="35"/>
      <c r="G19" s="35"/>
      <c r="H19" s="35"/>
      <c r="I19" s="35"/>
      <c r="J19" s="35"/>
      <c r="K19" s="35"/>
    </row>
    <row r="20" spans="1:11" ht="13" x14ac:dyDescent="0.3">
      <c r="A20" s="69" t="s">
        <v>225</v>
      </c>
      <c r="B20" s="768"/>
      <c r="C20" s="769"/>
      <c r="D20" s="769"/>
      <c r="E20" s="769"/>
      <c r="F20" s="769"/>
      <c r="G20" s="769"/>
      <c r="H20" s="770"/>
      <c r="I20" s="62" t="s">
        <v>224</v>
      </c>
      <c r="J20" s="62" t="s">
        <v>223</v>
      </c>
      <c r="K20" s="62" t="s">
        <v>190</v>
      </c>
    </row>
    <row r="21" spans="1:11" ht="13" x14ac:dyDescent="0.3">
      <c r="A21" s="69"/>
      <c r="B21" s="10" t="s">
        <v>62</v>
      </c>
      <c r="C21" s="785" t="s">
        <v>222</v>
      </c>
      <c r="D21" s="785"/>
      <c r="E21" s="785"/>
      <c r="F21" s="785"/>
      <c r="G21" s="785"/>
      <c r="H21" s="786"/>
      <c r="I21" s="172">
        <v>106</v>
      </c>
      <c r="J21" s="172">
        <v>11</v>
      </c>
      <c r="K21" s="10">
        <f>SUM(I21:J21)</f>
        <v>117</v>
      </c>
    </row>
    <row r="22" spans="1:11" ht="13" x14ac:dyDescent="0.3">
      <c r="A22" s="69"/>
      <c r="B22" s="10" t="s">
        <v>63</v>
      </c>
      <c r="C22" s="785" t="s">
        <v>221</v>
      </c>
      <c r="D22" s="785"/>
      <c r="E22" s="785"/>
      <c r="F22" s="785"/>
      <c r="G22" s="785"/>
      <c r="H22" s="786"/>
      <c r="I22" s="172">
        <v>34</v>
      </c>
      <c r="J22" s="172">
        <v>2</v>
      </c>
      <c r="K22" s="10">
        <f t="shared" ref="K22:K30" si="0">SUM(I22:J22)</f>
        <v>36</v>
      </c>
    </row>
    <row r="23" spans="1:11" ht="13" x14ac:dyDescent="0.3">
      <c r="A23" s="69"/>
      <c r="B23" s="10" t="s">
        <v>65</v>
      </c>
      <c r="C23" s="785" t="s">
        <v>220</v>
      </c>
      <c r="D23" s="785"/>
      <c r="E23" s="785"/>
      <c r="F23" s="785"/>
      <c r="G23" s="785"/>
      <c r="H23" s="786"/>
      <c r="I23" s="172">
        <v>51</v>
      </c>
      <c r="J23" s="172">
        <v>4</v>
      </c>
      <c r="K23" s="10">
        <f t="shared" si="0"/>
        <v>55</v>
      </c>
    </row>
    <row r="24" spans="1:11" ht="13" x14ac:dyDescent="0.3">
      <c r="A24" s="69"/>
      <c r="B24" s="10" t="s">
        <v>67</v>
      </c>
      <c r="C24" s="785" t="s">
        <v>219</v>
      </c>
      <c r="D24" s="785"/>
      <c r="E24" s="785"/>
      <c r="F24" s="785"/>
      <c r="G24" s="785"/>
      <c r="H24" s="786"/>
      <c r="I24" s="172">
        <v>55</v>
      </c>
      <c r="J24" s="172">
        <v>7</v>
      </c>
      <c r="K24" s="10">
        <f t="shared" si="0"/>
        <v>62</v>
      </c>
    </row>
    <row r="25" spans="1:11" ht="14.25" customHeight="1" x14ac:dyDescent="0.3">
      <c r="A25" s="69"/>
      <c r="B25" s="10" t="s">
        <v>69</v>
      </c>
      <c r="C25" s="785" t="s">
        <v>1919</v>
      </c>
      <c r="D25" s="785"/>
      <c r="E25" s="785"/>
      <c r="F25" s="785"/>
      <c r="G25" s="785"/>
      <c r="H25" s="786"/>
      <c r="I25" s="172">
        <v>5</v>
      </c>
      <c r="J25" s="172" t="s">
        <v>582</v>
      </c>
      <c r="K25" s="10">
        <f t="shared" si="0"/>
        <v>5</v>
      </c>
    </row>
    <row r="26" spans="1:11" ht="12" customHeight="1" x14ac:dyDescent="0.3">
      <c r="A26" s="69"/>
      <c r="B26" s="10" t="s">
        <v>71</v>
      </c>
      <c r="C26" s="785" t="s">
        <v>218</v>
      </c>
      <c r="D26" s="785"/>
      <c r="E26" s="785"/>
      <c r="F26" s="785"/>
      <c r="G26" s="785"/>
      <c r="H26" s="786"/>
      <c r="I26" s="172">
        <v>97</v>
      </c>
      <c r="J26" s="172">
        <v>5</v>
      </c>
      <c r="K26" s="10">
        <f t="shared" si="0"/>
        <v>102</v>
      </c>
    </row>
    <row r="27" spans="1:11" ht="26.25" customHeight="1" x14ac:dyDescent="0.3">
      <c r="A27" s="69"/>
      <c r="B27" s="10" t="s">
        <v>73</v>
      </c>
      <c r="C27" s="785" t="s">
        <v>217</v>
      </c>
      <c r="D27" s="785"/>
      <c r="E27" s="785"/>
      <c r="F27" s="785"/>
      <c r="G27" s="785"/>
      <c r="H27" s="786"/>
      <c r="I27" s="172">
        <v>9</v>
      </c>
      <c r="J27" s="172">
        <v>6</v>
      </c>
      <c r="K27" s="10">
        <f t="shared" si="0"/>
        <v>15</v>
      </c>
    </row>
    <row r="28" spans="1:11" ht="13" x14ac:dyDescent="0.3">
      <c r="A28" s="69"/>
      <c r="B28" s="10" t="s">
        <v>75</v>
      </c>
      <c r="C28" s="785" t="s">
        <v>216</v>
      </c>
      <c r="D28" s="785"/>
      <c r="E28" s="785"/>
      <c r="F28" s="785"/>
      <c r="G28" s="785"/>
      <c r="H28" s="786"/>
      <c r="I28" s="172" t="s">
        <v>582</v>
      </c>
      <c r="J28" s="172" t="s">
        <v>582</v>
      </c>
      <c r="K28" s="10">
        <f t="shared" si="0"/>
        <v>0</v>
      </c>
    </row>
    <row r="29" spans="1:11" ht="25.5" customHeight="1" x14ac:dyDescent="0.3">
      <c r="A29" s="69"/>
      <c r="B29" s="10" t="s">
        <v>77</v>
      </c>
      <c r="C29" s="785" t="s">
        <v>215</v>
      </c>
      <c r="D29" s="785"/>
      <c r="E29" s="785"/>
      <c r="F29" s="785"/>
      <c r="G29" s="785"/>
      <c r="H29" s="786"/>
      <c r="I29" s="172" t="s">
        <v>582</v>
      </c>
      <c r="J29" s="172" t="s">
        <v>582</v>
      </c>
      <c r="K29" s="10">
        <f t="shared" si="0"/>
        <v>0</v>
      </c>
    </row>
    <row r="30" spans="1:11" ht="25.5" customHeight="1" x14ac:dyDescent="0.3">
      <c r="A30" s="69"/>
      <c r="B30" s="10" t="s">
        <v>79</v>
      </c>
      <c r="C30" s="786" t="s">
        <v>214</v>
      </c>
      <c r="D30" s="750"/>
      <c r="E30" s="750"/>
      <c r="F30" s="750"/>
      <c r="G30" s="750"/>
      <c r="H30" s="750"/>
      <c r="I30" s="172">
        <v>7</v>
      </c>
      <c r="J30" s="172">
        <v>2</v>
      </c>
      <c r="K30" s="10">
        <f t="shared" si="0"/>
        <v>9</v>
      </c>
    </row>
    <row r="31" spans="1:11" ht="10.5" customHeight="1" x14ac:dyDescent="0.25"/>
    <row r="32" spans="1:11" ht="13" x14ac:dyDescent="0.3">
      <c r="A32" s="69" t="s">
        <v>213</v>
      </c>
      <c r="B32" s="808" t="s">
        <v>212</v>
      </c>
      <c r="C32" s="703"/>
      <c r="D32" s="703"/>
      <c r="E32" s="703"/>
      <c r="F32" s="703"/>
      <c r="G32" s="703"/>
      <c r="H32" s="703"/>
      <c r="I32" s="703"/>
      <c r="J32" s="703"/>
      <c r="K32" s="703"/>
    </row>
    <row r="33" spans="1:11" ht="54.75" customHeight="1" x14ac:dyDescent="0.25">
      <c r="B33" s="566" t="s">
        <v>1885</v>
      </c>
      <c r="C33" s="566"/>
      <c r="D33" s="566"/>
      <c r="E33" s="566"/>
      <c r="F33" s="566"/>
      <c r="G33" s="566"/>
      <c r="H33" s="566"/>
      <c r="I33" s="566"/>
      <c r="J33" s="566"/>
      <c r="K33" s="566"/>
    </row>
    <row r="34" spans="1:11" ht="12.75" customHeight="1" x14ac:dyDescent="0.25">
      <c r="B34" s="758" t="s">
        <v>211</v>
      </c>
      <c r="C34" s="758"/>
      <c r="D34" s="758"/>
      <c r="E34" s="758"/>
      <c r="F34" s="758"/>
      <c r="G34" s="758"/>
      <c r="H34" s="758"/>
      <c r="I34" s="758"/>
      <c r="J34" s="758"/>
      <c r="K34" s="758"/>
    </row>
    <row r="35" spans="1:11" ht="11.25" customHeight="1" x14ac:dyDescent="0.25">
      <c r="B35" s="5"/>
      <c r="C35" s="5"/>
      <c r="D35" s="5"/>
      <c r="E35" s="5"/>
      <c r="F35" s="5"/>
      <c r="G35" s="5"/>
      <c r="H35" s="5"/>
      <c r="I35" s="5"/>
      <c r="J35" s="5"/>
      <c r="K35" s="5"/>
    </row>
    <row r="36" spans="1:11" s="56" customFormat="1" ht="13" x14ac:dyDescent="0.35">
      <c r="A36" s="66"/>
      <c r="B36" s="817" t="s">
        <v>1895</v>
      </c>
      <c r="C36" s="817"/>
      <c r="D36" s="817"/>
      <c r="E36" s="817"/>
      <c r="F36" s="817"/>
      <c r="G36" s="238">
        <v>6</v>
      </c>
      <c r="H36" s="74" t="s">
        <v>210</v>
      </c>
      <c r="I36" s="56" t="s">
        <v>209</v>
      </c>
      <c r="J36" s="172">
        <v>610</v>
      </c>
      <c r="K36" s="56" t="s">
        <v>208</v>
      </c>
    </row>
    <row r="37" spans="1:11" s="56" customFormat="1" ht="12.5" x14ac:dyDescent="0.35">
      <c r="I37" s="73" t="s">
        <v>207</v>
      </c>
      <c r="J37" s="172">
        <v>103</v>
      </c>
      <c r="K37" s="56" t="s">
        <v>206</v>
      </c>
    </row>
    <row r="38" spans="1:11" ht="16.5" customHeight="1" x14ac:dyDescent="0.25">
      <c r="A38" s="66" t="s">
        <v>205</v>
      </c>
      <c r="B38" s="808" t="s">
        <v>204</v>
      </c>
      <c r="C38" s="703"/>
      <c r="D38" s="703"/>
      <c r="E38" s="703"/>
      <c r="F38" s="703"/>
      <c r="G38" s="703"/>
      <c r="H38" s="703"/>
      <c r="I38" s="703"/>
      <c r="J38" s="703"/>
      <c r="K38" s="703"/>
    </row>
    <row r="39" spans="1:11" ht="27" customHeight="1" x14ac:dyDescent="0.3">
      <c r="A39" s="69"/>
      <c r="B39" s="566" t="s">
        <v>1886</v>
      </c>
      <c r="C39" s="566"/>
      <c r="D39" s="566"/>
      <c r="E39" s="566"/>
      <c r="F39" s="566"/>
      <c r="G39" s="566"/>
      <c r="H39" s="566"/>
      <c r="I39" s="566"/>
      <c r="J39" s="566"/>
      <c r="K39" s="566"/>
    </row>
    <row r="40" spans="1:11" ht="27" customHeight="1" x14ac:dyDescent="0.3">
      <c r="A40" s="69"/>
      <c r="B40" s="764" t="s">
        <v>203</v>
      </c>
      <c r="C40" s="550"/>
      <c r="D40" s="550"/>
      <c r="E40" s="550"/>
      <c r="F40" s="550"/>
      <c r="G40" s="550"/>
      <c r="H40" s="550"/>
      <c r="I40" s="550"/>
      <c r="J40" s="550"/>
      <c r="K40" s="550"/>
    </row>
    <row r="41" spans="1:11" ht="111.75" customHeight="1" x14ac:dyDescent="0.3">
      <c r="A41" s="69"/>
      <c r="B41" s="816" t="s">
        <v>202</v>
      </c>
      <c r="C41" s="550"/>
      <c r="D41" s="550"/>
      <c r="E41" s="550"/>
      <c r="F41" s="550"/>
      <c r="G41" s="550"/>
      <c r="H41" s="550"/>
      <c r="I41" s="550"/>
      <c r="J41" s="550"/>
      <c r="K41" s="550"/>
    </row>
    <row r="42" spans="1:11" ht="90" customHeight="1" x14ac:dyDescent="0.3">
      <c r="A42" s="69"/>
      <c r="B42" s="816" t="s">
        <v>201</v>
      </c>
      <c r="C42" s="550"/>
      <c r="D42" s="550"/>
      <c r="E42" s="550"/>
      <c r="F42" s="550"/>
      <c r="G42" s="550"/>
      <c r="H42" s="550"/>
      <c r="I42" s="550"/>
      <c r="J42" s="550"/>
      <c r="K42" s="550"/>
    </row>
    <row r="43" spans="1:11" ht="54" customHeight="1" x14ac:dyDescent="0.3">
      <c r="A43" s="69"/>
      <c r="B43" s="566" t="s">
        <v>1887</v>
      </c>
      <c r="C43" s="566"/>
      <c r="D43" s="566"/>
      <c r="E43" s="566"/>
      <c r="F43" s="566"/>
      <c r="G43" s="566"/>
      <c r="H43" s="566"/>
      <c r="I43" s="566"/>
      <c r="J43" s="566"/>
      <c r="K43" s="566"/>
    </row>
    <row r="44" spans="1:11" ht="13" x14ac:dyDescent="0.3">
      <c r="A44" s="69"/>
      <c r="B44" s="72"/>
      <c r="C44" s="72"/>
      <c r="D44" s="72"/>
      <c r="E44" s="72"/>
      <c r="F44" s="72"/>
      <c r="G44" s="72"/>
      <c r="H44" s="72"/>
      <c r="I44" s="72"/>
      <c r="J44" s="72"/>
      <c r="K44" s="72"/>
    </row>
    <row r="45" spans="1:11" ht="13" x14ac:dyDescent="0.3">
      <c r="A45" s="69"/>
      <c r="B45" s="812" t="s">
        <v>200</v>
      </c>
      <c r="C45" s="724"/>
      <c r="D45" s="724"/>
      <c r="E45" s="724"/>
      <c r="F45" s="724"/>
      <c r="G45" s="724"/>
      <c r="H45" s="724"/>
      <c r="I45" s="724"/>
      <c r="J45" s="724"/>
      <c r="K45" s="724"/>
    </row>
    <row r="46" spans="1:11" ht="12.5" x14ac:dyDescent="0.25"/>
    <row r="47" spans="1:11" ht="13" x14ac:dyDescent="0.3">
      <c r="A47" s="69"/>
      <c r="B47" s="813" t="s">
        <v>199</v>
      </c>
      <c r="C47" s="813"/>
      <c r="D47" s="813"/>
      <c r="E47" s="813"/>
      <c r="F47" s="813"/>
      <c r="G47" s="813"/>
      <c r="H47" s="813"/>
      <c r="I47" s="813"/>
      <c r="J47" s="813"/>
      <c r="K47" s="813"/>
    </row>
    <row r="48" spans="1:11" ht="12.75" customHeight="1" x14ac:dyDescent="0.3">
      <c r="A48" s="69"/>
      <c r="B48" s="810"/>
      <c r="C48" s="811"/>
      <c r="D48" s="70" t="s">
        <v>197</v>
      </c>
      <c r="E48" s="70" t="s">
        <v>196</v>
      </c>
      <c r="F48" s="70" t="s">
        <v>195</v>
      </c>
      <c r="G48" s="70" t="s">
        <v>194</v>
      </c>
      <c r="H48" s="70" t="s">
        <v>193</v>
      </c>
      <c r="I48" s="70" t="s">
        <v>192</v>
      </c>
      <c r="J48" s="70" t="s">
        <v>191</v>
      </c>
      <c r="K48" s="70" t="s">
        <v>190</v>
      </c>
    </row>
    <row r="49" spans="1:11" ht="26.25" customHeight="1" x14ac:dyDescent="0.3">
      <c r="A49" s="69"/>
      <c r="B49" s="814" t="s">
        <v>198</v>
      </c>
      <c r="C49" s="815"/>
      <c r="D49" s="172">
        <v>97</v>
      </c>
      <c r="E49" s="172">
        <v>67</v>
      </c>
      <c r="F49" s="172">
        <v>21</v>
      </c>
      <c r="G49" s="172">
        <v>7</v>
      </c>
      <c r="H49" s="172">
        <v>1</v>
      </c>
      <c r="I49" s="172">
        <v>1</v>
      </c>
      <c r="J49" s="172" t="s">
        <v>582</v>
      </c>
      <c r="K49" s="10">
        <f>SUM(D49:J49)</f>
        <v>194</v>
      </c>
    </row>
    <row r="50" spans="1:11" ht="12.5" x14ac:dyDescent="0.25">
      <c r="B50" s="549"/>
      <c r="C50" s="549"/>
    </row>
    <row r="51" spans="1:11" ht="12.75" customHeight="1" x14ac:dyDescent="0.3">
      <c r="A51" s="69"/>
      <c r="B51" s="810"/>
      <c r="C51" s="811"/>
      <c r="D51" s="70" t="s">
        <v>197</v>
      </c>
      <c r="E51" s="70" t="s">
        <v>196</v>
      </c>
      <c r="F51" s="70" t="s">
        <v>195</v>
      </c>
      <c r="G51" s="70" t="s">
        <v>194</v>
      </c>
      <c r="H51" s="70" t="s">
        <v>193</v>
      </c>
      <c r="I51" s="70" t="s">
        <v>192</v>
      </c>
      <c r="J51" s="70" t="s">
        <v>191</v>
      </c>
      <c r="K51" s="70" t="s">
        <v>190</v>
      </c>
    </row>
    <row r="52" spans="1:11" ht="26.25" customHeight="1" x14ac:dyDescent="0.3">
      <c r="A52" s="69"/>
      <c r="B52" s="810" t="s">
        <v>189</v>
      </c>
      <c r="C52" s="811"/>
      <c r="D52" s="172">
        <v>4</v>
      </c>
      <c r="E52" s="172">
        <v>11</v>
      </c>
      <c r="F52" s="172" t="s">
        <v>582</v>
      </c>
      <c r="G52" s="172" t="s">
        <v>582</v>
      </c>
      <c r="H52" s="172" t="s">
        <v>582</v>
      </c>
      <c r="I52" s="172" t="s">
        <v>582</v>
      </c>
      <c r="J52" s="172" t="s">
        <v>1695</v>
      </c>
      <c r="K52" s="10">
        <f>SUM(D52:J52)</f>
        <v>15</v>
      </c>
    </row>
    <row r="53" spans="1:11" ht="12.5" x14ac:dyDescent="0.25"/>
    <row r="54" spans="1:11" ht="12.5" x14ac:dyDescent="0.25"/>
    <row r="55" spans="1:11" ht="12.5" x14ac:dyDescent="0.25">
      <c r="B55" s="221"/>
      <c r="C55" s="221"/>
      <c r="D55" s="221"/>
      <c r="E55" s="221"/>
      <c r="F55" s="221"/>
      <c r="G55" s="221"/>
      <c r="H55" s="221"/>
      <c r="I55" s="221"/>
      <c r="J55" s="221"/>
      <c r="K55" s="221"/>
    </row>
    <row r="56" spans="1:11" ht="12.5" x14ac:dyDescent="0.25">
      <c r="B56" s="221"/>
      <c r="C56" s="221"/>
      <c r="D56" s="221"/>
      <c r="E56" s="221"/>
      <c r="F56" s="221"/>
      <c r="G56" s="221"/>
      <c r="H56" s="221"/>
      <c r="I56" s="221"/>
      <c r="J56" s="221"/>
      <c r="K56" s="221"/>
    </row>
    <row r="57" spans="1:11" ht="12.5" x14ac:dyDescent="0.25">
      <c r="B57" s="221"/>
      <c r="C57" s="221"/>
      <c r="D57" s="221"/>
      <c r="E57" s="221"/>
      <c r="F57" s="221"/>
      <c r="G57" s="221"/>
      <c r="H57" s="221"/>
      <c r="I57" s="221"/>
      <c r="J57" s="221"/>
      <c r="K57" s="221"/>
    </row>
    <row r="58" spans="1:11" ht="12.5" x14ac:dyDescent="0.25">
      <c r="B58" s="221"/>
      <c r="C58" s="221"/>
      <c r="D58" s="221"/>
      <c r="E58" s="221"/>
      <c r="F58" s="221"/>
      <c r="G58" s="221"/>
      <c r="H58" s="221"/>
      <c r="I58" s="221"/>
      <c r="J58" s="221"/>
      <c r="K58" s="221"/>
    </row>
    <row r="59" spans="1:11" ht="12.5" x14ac:dyDescent="0.25">
      <c r="B59" s="221"/>
      <c r="C59" s="221"/>
      <c r="D59" s="221"/>
      <c r="E59" s="221"/>
      <c r="F59" s="221"/>
      <c r="G59" s="221"/>
      <c r="H59" s="221"/>
      <c r="I59" s="221"/>
      <c r="J59" s="221"/>
      <c r="K59" s="221"/>
    </row>
    <row r="60" spans="1:11" ht="12.5" x14ac:dyDescent="0.25">
      <c r="B60" s="221"/>
      <c r="C60" s="221"/>
      <c r="D60" s="221"/>
      <c r="E60" s="221"/>
      <c r="F60" s="221"/>
      <c r="G60" s="221"/>
      <c r="H60" s="221"/>
      <c r="I60" s="221"/>
      <c r="J60" s="221"/>
      <c r="K60" s="221"/>
    </row>
    <row r="61" spans="1:11" ht="12.5" x14ac:dyDescent="0.25"/>
  </sheetData>
  <sheetProtection algorithmName="SHA-512" hashValue="7E4guQaPyxYSW2VkrBEHqTq9H7pxvKdEgziC4ta78GNHf5/754YHNakgHAcC9m5T+oBfU/hLG+YIJuYZFLjTHQ==" saltValue="zEDWqlRPmkbQ8/8kTOOFfA==" spinCount="100000" sheet="1" objects="1" scenarios="1"/>
  <mergeCells count="43">
    <mergeCell ref="C8:I8"/>
    <mergeCell ref="C9:I9"/>
    <mergeCell ref="C10:I10"/>
    <mergeCell ref="C11:I11"/>
    <mergeCell ref="A1:K1"/>
    <mergeCell ref="B3:K3"/>
    <mergeCell ref="B4:K4"/>
    <mergeCell ref="C6:I6"/>
    <mergeCell ref="C7:I7"/>
    <mergeCell ref="C12:I12"/>
    <mergeCell ref="B14:K14"/>
    <mergeCell ref="C28:H28"/>
    <mergeCell ref="B16:K16"/>
    <mergeCell ref="B17:K17"/>
    <mergeCell ref="B18:K18"/>
    <mergeCell ref="B20:H20"/>
    <mergeCell ref="C21:H21"/>
    <mergeCell ref="C22:H22"/>
    <mergeCell ref="C23:H23"/>
    <mergeCell ref="B15:K15"/>
    <mergeCell ref="C24:H24"/>
    <mergeCell ref="C25:H25"/>
    <mergeCell ref="C26:H26"/>
    <mergeCell ref="C27:H27"/>
    <mergeCell ref="B43:K43"/>
    <mergeCell ref="C29:H29"/>
    <mergeCell ref="C30:H30"/>
    <mergeCell ref="B32:K32"/>
    <mergeCell ref="B33:K33"/>
    <mergeCell ref="B34:K34"/>
    <mergeCell ref="B42:K42"/>
    <mergeCell ref="B36:F36"/>
    <mergeCell ref="B38:K38"/>
    <mergeCell ref="B39:K39"/>
    <mergeCell ref="B40:K40"/>
    <mergeCell ref="B41:K41"/>
    <mergeCell ref="B52:C52"/>
    <mergeCell ref="B45:K45"/>
    <mergeCell ref="B47:K47"/>
    <mergeCell ref="B48:C48"/>
    <mergeCell ref="B49:C49"/>
    <mergeCell ref="B50:C50"/>
    <mergeCell ref="B51:C51"/>
  </mergeCells>
  <pageMargins left="0.75" right="0.75" top="1" bottom="1" header="0.5" footer="0.5"/>
  <pageSetup scale="75" orientation="portrait" r:id="rId1"/>
  <headerFooter alignWithMargins="0">
    <oddHeader>&amp;LCommon Data Set 2021-2022</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B235A-872C-6046-BF19-0FDA7DFC5C80}">
  <dimension ref="A1:F52"/>
  <sheetViews>
    <sheetView showGridLines="0" showRowColHeaders="0" showRuler="0" zoomScale="130" zoomScaleNormal="130" zoomScalePageLayoutView="120" workbookViewId="0">
      <selection activeCell="I4" sqref="I4"/>
    </sheetView>
  </sheetViews>
  <sheetFormatPr defaultColWidth="0" defaultRowHeight="0" customHeight="1" zeroHeight="1" x14ac:dyDescent="0.25"/>
  <cols>
    <col min="1" max="1" width="3.6640625" style="2" customWidth="1"/>
    <col min="2" max="2" width="41.83203125" style="1" customWidth="1"/>
    <col min="3" max="3" width="20" style="1" customWidth="1"/>
    <col min="4" max="5" width="15.33203125" style="1" customWidth="1"/>
    <col min="6" max="6" width="11.6640625" style="1" customWidth="1"/>
    <col min="7" max="16383" width="6" style="1" customWidth="1"/>
    <col min="16384" max="16384" width="3" style="1" customWidth="1"/>
  </cols>
  <sheetData>
    <row r="1" spans="1:6" ht="18" x14ac:dyDescent="0.25">
      <c r="A1" s="826" t="s">
        <v>296</v>
      </c>
      <c r="B1" s="826"/>
      <c r="C1" s="826"/>
      <c r="D1" s="826"/>
      <c r="E1" s="826"/>
      <c r="F1" s="826"/>
    </row>
    <row r="2" spans="1:6" ht="12.5" x14ac:dyDescent="0.25"/>
    <row r="3" spans="1:6" ht="13" x14ac:dyDescent="0.25">
      <c r="A3" s="24" t="s">
        <v>295</v>
      </c>
      <c r="B3" s="66" t="s">
        <v>1499</v>
      </c>
    </row>
    <row r="4" spans="1:6" s="56" customFormat="1" ht="72" customHeight="1" x14ac:dyDescent="0.35">
      <c r="A4" s="85"/>
      <c r="B4" s="750" t="s">
        <v>1892</v>
      </c>
      <c r="C4" s="750"/>
      <c r="D4" s="750"/>
      <c r="E4" s="750"/>
      <c r="F4" s="750"/>
    </row>
    <row r="5" spans="1:6" ht="39" customHeight="1" x14ac:dyDescent="0.25">
      <c r="A5" s="24"/>
      <c r="B5" s="14" t="s">
        <v>294</v>
      </c>
      <c r="C5" s="14" t="s">
        <v>293</v>
      </c>
      <c r="D5" s="14" t="s">
        <v>292</v>
      </c>
      <c r="E5" s="14" t="s">
        <v>291</v>
      </c>
      <c r="F5" s="14" t="s">
        <v>290</v>
      </c>
    </row>
    <row r="6" spans="1:6" ht="13" x14ac:dyDescent="0.25">
      <c r="A6" s="24"/>
      <c r="B6" s="178" t="s">
        <v>289</v>
      </c>
      <c r="C6" s="495" t="s">
        <v>582</v>
      </c>
      <c r="D6" s="495"/>
      <c r="E6" s="495"/>
      <c r="F6" s="179" t="s">
        <v>288</v>
      </c>
    </row>
    <row r="7" spans="1:6" ht="13" x14ac:dyDescent="0.25">
      <c r="A7" s="24"/>
      <c r="B7" s="180" t="s">
        <v>287</v>
      </c>
      <c r="C7" s="495" t="s">
        <v>582</v>
      </c>
      <c r="D7" s="495"/>
      <c r="E7" s="495">
        <v>2.97</v>
      </c>
      <c r="F7" s="179" t="s">
        <v>286</v>
      </c>
    </row>
    <row r="8" spans="1:6" ht="13" x14ac:dyDescent="0.25">
      <c r="A8" s="24"/>
      <c r="B8" s="178" t="s">
        <v>285</v>
      </c>
      <c r="C8" s="495" t="s">
        <v>582</v>
      </c>
      <c r="D8" s="495"/>
      <c r="E8" s="495"/>
      <c r="F8" s="179" t="s">
        <v>284</v>
      </c>
    </row>
    <row r="9" spans="1:6" ht="13" x14ac:dyDescent="0.25">
      <c r="A9" s="24"/>
      <c r="B9" s="180" t="s">
        <v>283</v>
      </c>
      <c r="C9" s="495" t="s">
        <v>582</v>
      </c>
      <c r="D9" s="495"/>
      <c r="E9" s="495">
        <v>2.97</v>
      </c>
      <c r="F9" s="179" t="s">
        <v>282</v>
      </c>
    </row>
    <row r="10" spans="1:6" ht="13" x14ac:dyDescent="0.25">
      <c r="A10" s="24"/>
      <c r="B10" s="178" t="s">
        <v>281</v>
      </c>
      <c r="C10" s="495" t="s">
        <v>582</v>
      </c>
      <c r="D10" s="495"/>
      <c r="E10" s="495">
        <v>0.42</v>
      </c>
      <c r="F10" s="179" t="s">
        <v>280</v>
      </c>
    </row>
    <row r="11" spans="1:6" ht="13" x14ac:dyDescent="0.25">
      <c r="A11" s="24"/>
      <c r="B11" s="178" t="s">
        <v>279</v>
      </c>
      <c r="C11" s="495" t="s">
        <v>582</v>
      </c>
      <c r="D11" s="495"/>
      <c r="E11" s="495"/>
      <c r="F11" s="181">
        <v>10</v>
      </c>
    </row>
    <row r="12" spans="1:6" ht="13" x14ac:dyDescent="0.25">
      <c r="A12" s="24"/>
      <c r="B12" s="178" t="s">
        <v>278</v>
      </c>
      <c r="C12" s="495" t="s">
        <v>582</v>
      </c>
      <c r="D12" s="495"/>
      <c r="E12" s="495">
        <v>5.09</v>
      </c>
      <c r="F12" s="181">
        <v>11</v>
      </c>
    </row>
    <row r="13" spans="1:6" ht="13" x14ac:dyDescent="0.25">
      <c r="A13" s="24"/>
      <c r="B13" s="178" t="s">
        <v>277</v>
      </c>
      <c r="C13" s="495" t="s">
        <v>582</v>
      </c>
      <c r="D13" s="495"/>
      <c r="E13" s="495"/>
      <c r="F13" s="181">
        <v>12</v>
      </c>
    </row>
    <row r="14" spans="1:6" ht="13" x14ac:dyDescent="0.25">
      <c r="A14" s="24"/>
      <c r="B14" s="178" t="s">
        <v>276</v>
      </c>
      <c r="C14" s="495" t="s">
        <v>582</v>
      </c>
      <c r="D14" s="495"/>
      <c r="E14" s="495"/>
      <c r="F14" s="181">
        <v>13</v>
      </c>
    </row>
    <row r="15" spans="1:6" ht="13" x14ac:dyDescent="0.25">
      <c r="A15" s="24"/>
      <c r="B15" s="178" t="s">
        <v>275</v>
      </c>
      <c r="C15" s="495" t="s">
        <v>582</v>
      </c>
      <c r="D15" s="495"/>
      <c r="E15" s="495">
        <v>0.42</v>
      </c>
      <c r="F15" s="181">
        <v>14</v>
      </c>
    </row>
    <row r="16" spans="1:6" ht="13" x14ac:dyDescent="0.25">
      <c r="A16" s="24"/>
      <c r="B16" s="178" t="s">
        <v>274</v>
      </c>
      <c r="C16" s="495" t="s">
        <v>582</v>
      </c>
      <c r="D16" s="495"/>
      <c r="E16" s="495"/>
      <c r="F16" s="181">
        <v>15</v>
      </c>
    </row>
    <row r="17" spans="1:6" ht="13" x14ac:dyDescent="0.25">
      <c r="A17" s="24"/>
      <c r="B17" s="178" t="s">
        <v>273</v>
      </c>
      <c r="C17" s="495" t="s">
        <v>582</v>
      </c>
      <c r="D17" s="495"/>
      <c r="E17" s="495">
        <v>2.54</v>
      </c>
      <c r="F17" s="181">
        <v>16</v>
      </c>
    </row>
    <row r="18" spans="1:6" ht="13" x14ac:dyDescent="0.25">
      <c r="A18" s="24"/>
      <c r="B18" s="178" t="s">
        <v>272</v>
      </c>
      <c r="C18" s="495"/>
      <c r="D18" s="495"/>
      <c r="E18" s="495"/>
      <c r="F18" s="181">
        <v>19</v>
      </c>
    </row>
    <row r="19" spans="1:6" ht="13" x14ac:dyDescent="0.25">
      <c r="A19" s="24"/>
      <c r="B19" s="178" t="s">
        <v>271</v>
      </c>
      <c r="C19" s="495"/>
      <c r="D19" s="495"/>
      <c r="E19" s="495"/>
      <c r="F19" s="181">
        <v>22</v>
      </c>
    </row>
    <row r="20" spans="1:6" ht="13" x14ac:dyDescent="0.25">
      <c r="A20" s="24"/>
      <c r="B20" s="178" t="s">
        <v>270</v>
      </c>
      <c r="C20" s="495"/>
      <c r="D20" s="495"/>
      <c r="E20" s="495">
        <v>2.97</v>
      </c>
      <c r="F20" s="181">
        <v>23</v>
      </c>
    </row>
    <row r="21" spans="1:6" ht="13" x14ac:dyDescent="0.25">
      <c r="A21" s="24"/>
      <c r="B21" s="178" t="s">
        <v>269</v>
      </c>
      <c r="C21" s="495"/>
      <c r="D21" s="495"/>
      <c r="E21" s="495">
        <v>2.12</v>
      </c>
      <c r="F21" s="181">
        <v>24</v>
      </c>
    </row>
    <row r="22" spans="1:6" ht="13" x14ac:dyDescent="0.25">
      <c r="A22" s="24"/>
      <c r="B22" s="178" t="s">
        <v>268</v>
      </c>
      <c r="C22" s="495"/>
      <c r="D22" s="495"/>
      <c r="E22" s="495"/>
      <c r="F22" s="181">
        <v>25</v>
      </c>
    </row>
    <row r="23" spans="1:6" ht="13" x14ac:dyDescent="0.25">
      <c r="A23" s="24"/>
      <c r="B23" s="178" t="s">
        <v>267</v>
      </c>
      <c r="C23" s="495"/>
      <c r="D23" s="495"/>
      <c r="E23" s="495">
        <v>21.61</v>
      </c>
      <c r="F23" s="181">
        <v>26</v>
      </c>
    </row>
    <row r="24" spans="1:6" ht="13" x14ac:dyDescent="0.25">
      <c r="A24" s="24"/>
      <c r="B24" s="178" t="s">
        <v>266</v>
      </c>
      <c r="C24" s="495"/>
      <c r="D24" s="495"/>
      <c r="E24" s="495">
        <v>1.7</v>
      </c>
      <c r="F24" s="181">
        <v>27</v>
      </c>
    </row>
    <row r="25" spans="1:6" ht="13" x14ac:dyDescent="0.25">
      <c r="A25" s="24"/>
      <c r="B25" s="178" t="s">
        <v>265</v>
      </c>
      <c r="C25" s="495"/>
      <c r="D25" s="495"/>
      <c r="E25" s="495"/>
      <c r="F25" s="181" t="s">
        <v>264</v>
      </c>
    </row>
    <row r="26" spans="1:6" ht="13" x14ac:dyDescent="0.25">
      <c r="A26" s="24"/>
      <c r="B26" s="178" t="s">
        <v>263</v>
      </c>
      <c r="C26" s="495"/>
      <c r="D26" s="495"/>
      <c r="E26" s="495">
        <v>7.63</v>
      </c>
      <c r="F26" s="181">
        <v>30</v>
      </c>
    </row>
    <row r="27" spans="1:6" ht="13" x14ac:dyDescent="0.25">
      <c r="A27" s="24"/>
      <c r="B27" s="178" t="s">
        <v>262</v>
      </c>
      <c r="C27" s="495"/>
      <c r="D27" s="495"/>
      <c r="E27" s="495"/>
      <c r="F27" s="181">
        <v>31</v>
      </c>
    </row>
    <row r="28" spans="1:6" ht="13" x14ac:dyDescent="0.25">
      <c r="A28" s="24"/>
      <c r="B28" s="178" t="s">
        <v>261</v>
      </c>
      <c r="C28" s="495"/>
      <c r="D28" s="495"/>
      <c r="E28" s="495">
        <v>2.12</v>
      </c>
      <c r="F28" s="181">
        <v>38</v>
      </c>
    </row>
    <row r="29" spans="1:6" ht="13" x14ac:dyDescent="0.25">
      <c r="A29" s="24"/>
      <c r="B29" s="178" t="s">
        <v>260</v>
      </c>
      <c r="C29" s="495"/>
      <c r="D29" s="495"/>
      <c r="E29" s="495"/>
      <c r="F29" s="181">
        <v>39</v>
      </c>
    </row>
    <row r="30" spans="1:6" ht="13" x14ac:dyDescent="0.25">
      <c r="A30" s="24"/>
      <c r="B30" s="178" t="s">
        <v>259</v>
      </c>
      <c r="C30" s="495"/>
      <c r="D30" s="495"/>
      <c r="E30" s="495">
        <v>6.36</v>
      </c>
      <c r="F30" s="181">
        <v>40</v>
      </c>
    </row>
    <row r="31" spans="1:6" ht="13" x14ac:dyDescent="0.25">
      <c r="A31" s="24"/>
      <c r="B31" s="178" t="s">
        <v>258</v>
      </c>
      <c r="C31" s="495"/>
      <c r="D31" s="495"/>
      <c r="E31" s="495"/>
      <c r="F31" s="181">
        <v>41</v>
      </c>
    </row>
    <row r="32" spans="1:6" ht="13" x14ac:dyDescent="0.25">
      <c r="A32" s="24"/>
      <c r="B32" s="178" t="s">
        <v>257</v>
      </c>
      <c r="C32" s="495"/>
      <c r="D32" s="495"/>
      <c r="E32" s="495">
        <v>9.75</v>
      </c>
      <c r="F32" s="181">
        <v>42</v>
      </c>
    </row>
    <row r="33" spans="1:6" ht="25" x14ac:dyDescent="0.25">
      <c r="A33" s="24"/>
      <c r="B33" s="182" t="s">
        <v>256</v>
      </c>
      <c r="C33" s="495"/>
      <c r="D33" s="495"/>
      <c r="E33" s="495"/>
      <c r="F33" s="181">
        <v>43</v>
      </c>
    </row>
    <row r="34" spans="1:6" ht="13" x14ac:dyDescent="0.25">
      <c r="A34" s="24"/>
      <c r="B34" s="178" t="s">
        <v>255</v>
      </c>
      <c r="C34" s="495"/>
      <c r="D34" s="495"/>
      <c r="E34" s="495">
        <v>1.7</v>
      </c>
      <c r="F34" s="181">
        <v>44</v>
      </c>
    </row>
    <row r="35" spans="1:6" ht="13" x14ac:dyDescent="0.25">
      <c r="A35" s="24"/>
      <c r="B35" s="178" t="s">
        <v>254</v>
      </c>
      <c r="C35" s="495"/>
      <c r="D35" s="495"/>
      <c r="E35" s="495">
        <v>9.32</v>
      </c>
      <c r="F35" s="181">
        <v>45</v>
      </c>
    </row>
    <row r="36" spans="1:6" ht="13" x14ac:dyDescent="0.25">
      <c r="A36" s="24"/>
      <c r="B36" s="178" t="s">
        <v>253</v>
      </c>
      <c r="C36" s="495"/>
      <c r="D36" s="495"/>
      <c r="E36" s="495"/>
      <c r="F36" s="181">
        <v>46</v>
      </c>
    </row>
    <row r="37" spans="1:6" ht="13" x14ac:dyDescent="0.25">
      <c r="A37" s="24"/>
      <c r="B37" s="178" t="s">
        <v>252</v>
      </c>
      <c r="C37" s="495"/>
      <c r="D37" s="495"/>
      <c r="E37" s="495"/>
      <c r="F37" s="181">
        <v>47</v>
      </c>
    </row>
    <row r="38" spans="1:6" ht="13" x14ac:dyDescent="0.25">
      <c r="A38" s="24"/>
      <c r="B38" s="178" t="s">
        <v>251</v>
      </c>
      <c r="C38" s="495"/>
      <c r="D38" s="495"/>
      <c r="E38" s="495"/>
      <c r="F38" s="181">
        <v>48</v>
      </c>
    </row>
    <row r="39" spans="1:6" ht="13" x14ac:dyDescent="0.25">
      <c r="A39" s="24"/>
      <c r="B39" s="178" t="s">
        <v>250</v>
      </c>
      <c r="C39" s="495"/>
      <c r="D39" s="495"/>
      <c r="E39" s="495"/>
      <c r="F39" s="181">
        <v>49</v>
      </c>
    </row>
    <row r="40" spans="1:6" ht="13" x14ac:dyDescent="0.25">
      <c r="A40" s="24"/>
      <c r="B40" s="178" t="s">
        <v>249</v>
      </c>
      <c r="C40" s="495"/>
      <c r="D40" s="495"/>
      <c r="E40" s="495">
        <v>8.9</v>
      </c>
      <c r="F40" s="181">
        <v>50</v>
      </c>
    </row>
    <row r="41" spans="1:6" ht="13" x14ac:dyDescent="0.25">
      <c r="A41" s="24"/>
      <c r="B41" s="178" t="s">
        <v>248</v>
      </c>
      <c r="C41" s="495"/>
      <c r="D41" s="495"/>
      <c r="E41" s="495"/>
      <c r="F41" s="181">
        <v>51</v>
      </c>
    </row>
    <row r="42" spans="1:6" ht="13" x14ac:dyDescent="0.25">
      <c r="A42" s="24"/>
      <c r="B42" s="178" t="s">
        <v>247</v>
      </c>
      <c r="C42" s="495"/>
      <c r="D42" s="495"/>
      <c r="E42" s="495">
        <v>9.75</v>
      </c>
      <c r="F42" s="181">
        <v>52</v>
      </c>
    </row>
    <row r="43" spans="1:6" ht="13" x14ac:dyDescent="0.25">
      <c r="A43" s="24"/>
      <c r="B43" s="178" t="s">
        <v>246</v>
      </c>
      <c r="C43" s="495"/>
      <c r="D43" s="495"/>
      <c r="E43" s="495">
        <v>1.7</v>
      </c>
      <c r="F43" s="181">
        <v>54</v>
      </c>
    </row>
    <row r="44" spans="1:6" ht="13" x14ac:dyDescent="0.25">
      <c r="A44" s="24"/>
      <c r="B44" s="86" t="s">
        <v>188</v>
      </c>
      <c r="C44" s="496"/>
      <c r="D44" s="496"/>
      <c r="E44" s="496"/>
      <c r="F44" s="87"/>
    </row>
    <row r="45" spans="1:6" ht="13" x14ac:dyDescent="0.25">
      <c r="A45" s="24"/>
      <c r="B45" s="147" t="s">
        <v>245</v>
      </c>
      <c r="C45" s="497">
        <f>SUM(C6:C44)</f>
        <v>0</v>
      </c>
      <c r="D45" s="497">
        <f>SUM(D6:D44)</f>
        <v>0</v>
      </c>
      <c r="E45" s="497">
        <f>SUM(E6:E44)</f>
        <v>100.04</v>
      </c>
      <c r="F45" s="494" t="s">
        <v>1888</v>
      </c>
    </row>
    <row r="46" spans="1:6" ht="13" x14ac:dyDescent="0.25">
      <c r="A46" s="24"/>
      <c r="B46" s="233"/>
      <c r="C46" s="234"/>
      <c r="D46" s="234"/>
      <c r="E46" s="234"/>
      <c r="F46" s="176"/>
    </row>
    <row r="47" spans="1:6" ht="13" x14ac:dyDescent="0.25">
      <c r="A47" s="24"/>
      <c r="B47" s="235"/>
      <c r="C47" s="236"/>
      <c r="D47" s="236"/>
      <c r="E47" s="236"/>
      <c r="F47" s="237"/>
    </row>
    <row r="48" spans="1:6" ht="13" x14ac:dyDescent="0.25">
      <c r="A48" s="24"/>
      <c r="B48" s="235"/>
      <c r="C48" s="236"/>
      <c r="D48" s="236"/>
      <c r="E48" s="236"/>
      <c r="F48" s="237"/>
    </row>
    <row r="49" spans="1:6" ht="13" x14ac:dyDescent="0.25">
      <c r="A49" s="24"/>
      <c r="B49" s="235"/>
      <c r="C49" s="236"/>
      <c r="D49" s="236"/>
      <c r="E49" s="236"/>
      <c r="F49" s="237"/>
    </row>
    <row r="50" spans="1:6" ht="13" x14ac:dyDescent="0.25">
      <c r="A50" s="24"/>
      <c r="B50" s="235"/>
      <c r="C50" s="236"/>
      <c r="D50" s="236"/>
      <c r="E50" s="236"/>
      <c r="F50" s="237"/>
    </row>
    <row r="51" spans="1:6" ht="13" x14ac:dyDescent="0.25">
      <c r="A51" s="24"/>
      <c r="B51" s="233"/>
      <c r="C51" s="234"/>
      <c r="D51" s="234"/>
      <c r="E51" s="234"/>
      <c r="F51" s="176"/>
    </row>
    <row r="52" spans="1:6" ht="12.5" x14ac:dyDescent="0.25"/>
  </sheetData>
  <sheetProtection algorithmName="SHA-512" hashValue="wLyvsk9OTxopGOpDsDR91wmwZaiU+PUwPhgvpife60SfoItG6Fk2tIzh8nNli9ouFZSwkDhRRMSvs9EeUnq/dg==" saltValue="dx9i6LYyVIr6vIRQNZ6DOw==" spinCount="100000" sheet="1" objects="1" scenarios="1"/>
  <mergeCells count="2">
    <mergeCell ref="A1:F1"/>
    <mergeCell ref="B4:F4"/>
  </mergeCells>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122A4-69BC-6944-8FA6-7829AE709846}">
  <dimension ref="A1:A189"/>
  <sheetViews>
    <sheetView showGridLines="0" showRowColHeaders="0" showRuler="0" topLeftCell="A60" zoomScale="160" zoomScaleNormal="160" workbookViewId="0">
      <selection activeCell="A62" sqref="A62"/>
    </sheetView>
  </sheetViews>
  <sheetFormatPr defaultColWidth="0" defaultRowHeight="13" zeroHeight="1" x14ac:dyDescent="0.3"/>
  <cols>
    <col min="1" max="1" width="88.83203125" style="470" customWidth="1"/>
    <col min="2" max="2" width="0.83203125" style="460" customWidth="1"/>
    <col min="3" max="16384" width="0" style="460" hidden="1"/>
  </cols>
  <sheetData>
    <row r="1" spans="1:1" ht="18.5" x14ac:dyDescent="0.3">
      <c r="A1" s="459" t="s">
        <v>1697</v>
      </c>
    </row>
    <row r="2" spans="1:1" x14ac:dyDescent="0.3">
      <c r="A2" s="461" t="s">
        <v>1698</v>
      </c>
    </row>
    <row r="3" spans="1:1" x14ac:dyDescent="0.3">
      <c r="A3" s="461"/>
    </row>
    <row r="4" spans="1:1" ht="24" x14ac:dyDescent="0.3">
      <c r="A4" s="461" t="s">
        <v>1699</v>
      </c>
    </row>
    <row r="5" spans="1:1" x14ac:dyDescent="0.3">
      <c r="A5" s="461"/>
    </row>
    <row r="6" spans="1:1" ht="24" x14ac:dyDescent="0.3">
      <c r="A6" s="471" t="s">
        <v>1842</v>
      </c>
    </row>
    <row r="7" spans="1:1" x14ac:dyDescent="0.3">
      <c r="A7" s="461"/>
    </row>
    <row r="8" spans="1:1" ht="24" x14ac:dyDescent="0.3">
      <c r="A8" s="462" t="s">
        <v>1700</v>
      </c>
    </row>
    <row r="9" spans="1:1" ht="24" x14ac:dyDescent="0.3">
      <c r="A9" s="462" t="s">
        <v>1701</v>
      </c>
    </row>
    <row r="10" spans="1:1" x14ac:dyDescent="0.3">
      <c r="A10" s="462" t="s">
        <v>1702</v>
      </c>
    </row>
    <row r="11" spans="1:1" x14ac:dyDescent="0.3">
      <c r="A11" s="462"/>
    </row>
    <row r="12" spans="1:1" ht="24" x14ac:dyDescent="0.3">
      <c r="A12" s="462" t="s">
        <v>1703</v>
      </c>
    </row>
    <row r="13" spans="1:1" ht="24" x14ac:dyDescent="0.3">
      <c r="A13" s="462" t="s">
        <v>1704</v>
      </c>
    </row>
    <row r="14" spans="1:1" ht="36" x14ac:dyDescent="0.3">
      <c r="A14" s="462" t="s">
        <v>1705</v>
      </c>
    </row>
    <row r="15" spans="1:1" ht="24" x14ac:dyDescent="0.3">
      <c r="A15" s="462" t="s">
        <v>1706</v>
      </c>
    </row>
    <row r="16" spans="1:1" ht="24" x14ac:dyDescent="0.3">
      <c r="A16" s="462" t="s">
        <v>1707</v>
      </c>
    </row>
    <row r="17" spans="1:1" x14ac:dyDescent="0.3">
      <c r="A17" s="462" t="s">
        <v>1708</v>
      </c>
    </row>
    <row r="18" spans="1:1" ht="60" x14ac:dyDescent="0.3">
      <c r="A18" s="462" t="s">
        <v>1709</v>
      </c>
    </row>
    <row r="19" spans="1:1" x14ac:dyDescent="0.3">
      <c r="A19" s="462" t="s">
        <v>1710</v>
      </c>
    </row>
    <row r="20" spans="1:1" x14ac:dyDescent="0.3">
      <c r="A20" s="462" t="s">
        <v>1711</v>
      </c>
    </row>
    <row r="21" spans="1:1" ht="24" x14ac:dyDescent="0.3">
      <c r="A21" s="462" t="s">
        <v>1712</v>
      </c>
    </row>
    <row r="22" spans="1:1" x14ac:dyDescent="0.3">
      <c r="A22" s="462" t="s">
        <v>1713</v>
      </c>
    </row>
    <row r="23" spans="1:1" ht="24" x14ac:dyDescent="0.3">
      <c r="A23" s="463" t="s">
        <v>1714</v>
      </c>
    </row>
    <row r="24" spans="1:1" x14ac:dyDescent="0.3">
      <c r="A24" s="464"/>
    </row>
    <row r="25" spans="1:1" ht="48" x14ac:dyDescent="0.3">
      <c r="A25" s="462" t="s">
        <v>1715</v>
      </c>
    </row>
    <row r="26" spans="1:1" x14ac:dyDescent="0.3">
      <c r="A26" s="462" t="s">
        <v>1716</v>
      </c>
    </row>
    <row r="27" spans="1:1" x14ac:dyDescent="0.3">
      <c r="A27" s="462" t="s">
        <v>1717</v>
      </c>
    </row>
    <row r="28" spans="1:1" ht="24" x14ac:dyDescent="0.3">
      <c r="A28" s="462" t="s">
        <v>1718</v>
      </c>
    </row>
    <row r="29" spans="1:1" ht="24" x14ac:dyDescent="0.3">
      <c r="A29" s="462" t="s">
        <v>1719</v>
      </c>
    </row>
    <row r="30" spans="1:1" ht="24" x14ac:dyDescent="0.3">
      <c r="A30" s="462" t="s">
        <v>1720</v>
      </c>
    </row>
    <row r="31" spans="1:1" ht="24" x14ac:dyDescent="0.3">
      <c r="A31" s="462" t="s">
        <v>1721</v>
      </c>
    </row>
    <row r="32" spans="1:1" ht="24" x14ac:dyDescent="0.3">
      <c r="A32" s="462" t="s">
        <v>1722</v>
      </c>
    </row>
    <row r="33" spans="1:1" ht="36" x14ac:dyDescent="0.3">
      <c r="A33" s="462" t="s">
        <v>1841</v>
      </c>
    </row>
    <row r="34" spans="1:1" x14ac:dyDescent="0.3">
      <c r="A34" s="462" t="s">
        <v>1723</v>
      </c>
    </row>
    <row r="35" spans="1:1" ht="36" x14ac:dyDescent="0.3">
      <c r="A35" s="462" t="s">
        <v>1724</v>
      </c>
    </row>
    <row r="36" spans="1:1" x14ac:dyDescent="0.3">
      <c r="A36" s="462" t="s">
        <v>1725</v>
      </c>
    </row>
    <row r="37" spans="1:1" ht="24" x14ac:dyDescent="0.3">
      <c r="A37" s="462" t="s">
        <v>1726</v>
      </c>
    </row>
    <row r="38" spans="1:1" ht="24" x14ac:dyDescent="0.3">
      <c r="A38" s="462" t="s">
        <v>1727</v>
      </c>
    </row>
    <row r="39" spans="1:1" ht="24" x14ac:dyDescent="0.3">
      <c r="A39" s="462" t="s">
        <v>1728</v>
      </c>
    </row>
    <row r="40" spans="1:1" ht="24" x14ac:dyDescent="0.3">
      <c r="A40" s="462" t="s">
        <v>1729</v>
      </c>
    </row>
    <row r="41" spans="1:1" ht="36" x14ac:dyDescent="0.3">
      <c r="A41" s="462" t="s">
        <v>1730</v>
      </c>
    </row>
    <row r="42" spans="1:1" ht="24" x14ac:dyDescent="0.3">
      <c r="A42" s="462" t="s">
        <v>1731</v>
      </c>
    </row>
    <row r="43" spans="1:1" ht="24" x14ac:dyDescent="0.3">
      <c r="A43" s="462" t="s">
        <v>1732</v>
      </c>
    </row>
    <row r="44" spans="1:1" ht="24" x14ac:dyDescent="0.3">
      <c r="A44" s="462" t="s">
        <v>1733</v>
      </c>
    </row>
    <row r="45" spans="1:1" ht="24" x14ac:dyDescent="0.3">
      <c r="A45" s="462" t="s">
        <v>1734</v>
      </c>
    </row>
    <row r="46" spans="1:1" ht="36" x14ac:dyDescent="0.3">
      <c r="A46" s="462" t="s">
        <v>1735</v>
      </c>
    </row>
    <row r="47" spans="1:1" x14ac:dyDescent="0.3">
      <c r="A47" s="462" t="s">
        <v>1736</v>
      </c>
    </row>
    <row r="48" spans="1:1" ht="24" x14ac:dyDescent="0.3">
      <c r="A48" s="462" t="s">
        <v>1737</v>
      </c>
    </row>
    <row r="49" spans="1:1" ht="48" x14ac:dyDescent="0.3">
      <c r="A49" s="463" t="s">
        <v>1738</v>
      </c>
    </row>
    <row r="50" spans="1:1" ht="72" x14ac:dyDescent="0.3">
      <c r="A50" s="463" t="s">
        <v>1739</v>
      </c>
    </row>
    <row r="51" spans="1:1" ht="24" x14ac:dyDescent="0.3">
      <c r="A51" s="463" t="s">
        <v>1740</v>
      </c>
    </row>
    <row r="52" spans="1:1" x14ac:dyDescent="0.3">
      <c r="A52" s="462" t="s">
        <v>1741</v>
      </c>
    </row>
    <row r="53" spans="1:1" ht="24" x14ac:dyDescent="0.3">
      <c r="A53" s="462" t="s">
        <v>1742</v>
      </c>
    </row>
    <row r="54" spans="1:1" ht="36" x14ac:dyDescent="0.3">
      <c r="A54" s="462" t="s">
        <v>1743</v>
      </c>
    </row>
    <row r="55" spans="1:1" ht="24" x14ac:dyDescent="0.3">
      <c r="A55" s="462" t="s">
        <v>1744</v>
      </c>
    </row>
    <row r="56" spans="1:1" ht="48" x14ac:dyDescent="0.3">
      <c r="A56" s="462" t="s">
        <v>1745</v>
      </c>
    </row>
    <row r="57" spans="1:1" x14ac:dyDescent="0.3">
      <c r="A57" s="462" t="s">
        <v>1746</v>
      </c>
    </row>
    <row r="58" spans="1:1" ht="24" x14ac:dyDescent="0.3">
      <c r="A58" s="462" t="s">
        <v>1747</v>
      </c>
    </row>
    <row r="59" spans="1:1" ht="24" x14ac:dyDescent="0.3">
      <c r="A59" s="462" t="s">
        <v>1748</v>
      </c>
    </row>
    <row r="60" spans="1:1" ht="24" x14ac:dyDescent="0.3">
      <c r="A60" s="462" t="s">
        <v>1749</v>
      </c>
    </row>
    <row r="61" spans="1:1" ht="36" x14ac:dyDescent="0.3">
      <c r="A61" s="462" t="s">
        <v>1750</v>
      </c>
    </row>
    <row r="62" spans="1:1" ht="36" x14ac:dyDescent="0.3">
      <c r="A62" s="462" t="s">
        <v>1922</v>
      </c>
    </row>
    <row r="63" spans="1:1" ht="24" x14ac:dyDescent="0.3">
      <c r="A63" s="462" t="s">
        <v>1751</v>
      </c>
    </row>
    <row r="64" spans="1:1" ht="24" x14ac:dyDescent="0.3">
      <c r="A64" s="462" t="s">
        <v>1923</v>
      </c>
    </row>
    <row r="65" spans="1:1" ht="24" x14ac:dyDescent="0.3">
      <c r="A65" s="462" t="s">
        <v>1752</v>
      </c>
    </row>
    <row r="66" spans="1:1" ht="24" x14ac:dyDescent="0.3">
      <c r="A66" s="462" t="s">
        <v>1753</v>
      </c>
    </row>
    <row r="67" spans="1:1" ht="48" x14ac:dyDescent="0.3">
      <c r="A67" s="462" t="s">
        <v>1754</v>
      </c>
    </row>
    <row r="68" spans="1:1" x14ac:dyDescent="0.3">
      <c r="A68" s="462" t="s">
        <v>1755</v>
      </c>
    </row>
    <row r="69" spans="1:1" x14ac:dyDescent="0.3">
      <c r="A69" s="462" t="s">
        <v>1756</v>
      </c>
    </row>
    <row r="70" spans="1:1" ht="36" x14ac:dyDescent="0.3">
      <c r="A70" s="462" t="s">
        <v>1757</v>
      </c>
    </row>
    <row r="71" spans="1:1" ht="24" x14ac:dyDescent="0.3">
      <c r="A71" s="462" t="s">
        <v>1758</v>
      </c>
    </row>
    <row r="72" spans="1:1" ht="24" x14ac:dyDescent="0.3">
      <c r="A72" s="462" t="s">
        <v>1759</v>
      </c>
    </row>
    <row r="73" spans="1:1" ht="24" x14ac:dyDescent="0.3">
      <c r="A73" s="462" t="s">
        <v>1760</v>
      </c>
    </row>
    <row r="74" spans="1:1" x14ac:dyDescent="0.3">
      <c r="A74" s="462" t="s">
        <v>1761</v>
      </c>
    </row>
    <row r="75" spans="1:1" x14ac:dyDescent="0.3">
      <c r="A75" s="462" t="s">
        <v>1920</v>
      </c>
    </row>
    <row r="76" spans="1:1" ht="24" x14ac:dyDescent="0.3">
      <c r="A76" s="462" t="s">
        <v>1762</v>
      </c>
    </row>
    <row r="77" spans="1:1" ht="24" x14ac:dyDescent="0.3">
      <c r="A77" s="462" t="s">
        <v>1763</v>
      </c>
    </row>
    <row r="78" spans="1:1" ht="24" x14ac:dyDescent="0.3">
      <c r="A78" s="462" t="s">
        <v>1764</v>
      </c>
    </row>
    <row r="79" spans="1:1" x14ac:dyDescent="0.3">
      <c r="A79" s="462"/>
    </row>
    <row r="80" spans="1:1" x14ac:dyDescent="0.3">
      <c r="A80" s="462" t="s">
        <v>1765</v>
      </c>
    </row>
    <row r="81" spans="1:1" ht="24" x14ac:dyDescent="0.3">
      <c r="A81" s="462" t="s">
        <v>1766</v>
      </c>
    </row>
    <row r="82" spans="1:1" ht="30" customHeight="1" x14ac:dyDescent="0.3">
      <c r="A82" s="462" t="s">
        <v>1843</v>
      </c>
    </row>
    <row r="83" spans="1:1" ht="36" x14ac:dyDescent="0.3">
      <c r="A83" s="463" t="s">
        <v>1767</v>
      </c>
    </row>
    <row r="84" spans="1:1" ht="24" x14ac:dyDescent="0.3">
      <c r="A84" s="462" t="s">
        <v>1768</v>
      </c>
    </row>
    <row r="85" spans="1:1" x14ac:dyDescent="0.3">
      <c r="A85" s="462" t="s">
        <v>1769</v>
      </c>
    </row>
    <row r="86" spans="1:1" x14ac:dyDescent="0.3">
      <c r="A86" s="461"/>
    </row>
    <row r="87" spans="1:1" ht="36" x14ac:dyDescent="0.3">
      <c r="A87" s="463" t="s">
        <v>1770</v>
      </c>
    </row>
    <row r="88" spans="1:1" x14ac:dyDescent="0.3">
      <c r="A88" s="464"/>
    </row>
    <row r="89" spans="1:1" ht="24" x14ac:dyDescent="0.3">
      <c r="A89" s="462" t="s">
        <v>1771</v>
      </c>
    </row>
    <row r="90" spans="1:1" ht="24" x14ac:dyDescent="0.3">
      <c r="A90" s="462" t="s">
        <v>1921</v>
      </c>
    </row>
    <row r="91" spans="1:1" x14ac:dyDescent="0.3">
      <c r="A91" s="462" t="s">
        <v>1772</v>
      </c>
    </row>
    <row r="92" spans="1:1" ht="24" x14ac:dyDescent="0.3">
      <c r="A92" s="462" t="s">
        <v>1773</v>
      </c>
    </row>
    <row r="93" spans="1:1" x14ac:dyDescent="0.3">
      <c r="A93" s="462" t="s">
        <v>1774</v>
      </c>
    </row>
    <row r="94" spans="1:1" x14ac:dyDescent="0.3">
      <c r="A94" s="462" t="s">
        <v>1775</v>
      </c>
    </row>
    <row r="95" spans="1:1" ht="24" x14ac:dyDescent="0.3">
      <c r="A95" s="462" t="s">
        <v>1776</v>
      </c>
    </row>
    <row r="96" spans="1:1" ht="56" customHeight="1" x14ac:dyDescent="0.3">
      <c r="A96" s="461" t="s">
        <v>1926</v>
      </c>
    </row>
    <row r="97" spans="1:1" ht="24" x14ac:dyDescent="0.3">
      <c r="A97" s="462" t="s">
        <v>1777</v>
      </c>
    </row>
    <row r="98" spans="1:1" ht="36" x14ac:dyDescent="0.3">
      <c r="A98" s="462" t="s">
        <v>1778</v>
      </c>
    </row>
    <row r="99" spans="1:1" ht="24" x14ac:dyDescent="0.3">
      <c r="A99" s="462" t="s">
        <v>1779</v>
      </c>
    </row>
    <row r="100" spans="1:1" ht="24" x14ac:dyDescent="0.3">
      <c r="A100" s="462" t="s">
        <v>1780</v>
      </c>
    </row>
    <row r="101" spans="1:1" x14ac:dyDescent="0.3">
      <c r="A101" s="461"/>
    </row>
    <row r="102" spans="1:1" ht="24" x14ac:dyDescent="0.3">
      <c r="A102" s="465" t="s">
        <v>1781</v>
      </c>
    </row>
    <row r="103" spans="1:1" x14ac:dyDescent="0.3">
      <c r="A103" s="461"/>
    </row>
    <row r="104" spans="1:1" ht="36" x14ac:dyDescent="0.3">
      <c r="A104" s="465" t="s">
        <v>1782</v>
      </c>
    </row>
    <row r="105" spans="1:1" x14ac:dyDescent="0.3">
      <c r="A105" s="466"/>
    </row>
    <row r="106" spans="1:1" ht="36" x14ac:dyDescent="0.3">
      <c r="A106" s="465" t="s">
        <v>1783</v>
      </c>
    </row>
    <row r="107" spans="1:1" x14ac:dyDescent="0.3">
      <c r="A107" s="462"/>
    </row>
    <row r="108" spans="1:1" ht="24" x14ac:dyDescent="0.3">
      <c r="A108" s="462" t="s">
        <v>1784</v>
      </c>
    </row>
    <row r="109" spans="1:1" ht="24" x14ac:dyDescent="0.3">
      <c r="A109" s="462" t="s">
        <v>1785</v>
      </c>
    </row>
    <row r="110" spans="1:1" ht="36" x14ac:dyDescent="0.3">
      <c r="A110" s="462" t="s">
        <v>1786</v>
      </c>
    </row>
    <row r="111" spans="1:1" x14ac:dyDescent="0.3">
      <c r="A111" s="462" t="s">
        <v>1787</v>
      </c>
    </row>
    <row r="112" spans="1:1" ht="24" x14ac:dyDescent="0.3">
      <c r="A112" s="462" t="s">
        <v>1788</v>
      </c>
    </row>
    <row r="113" spans="1:1" ht="24" x14ac:dyDescent="0.3">
      <c r="A113" s="462" t="s">
        <v>1789</v>
      </c>
    </row>
    <row r="114" spans="1:1" ht="24" x14ac:dyDescent="0.3">
      <c r="A114" s="462" t="s">
        <v>1790</v>
      </c>
    </row>
    <row r="115" spans="1:1" ht="24" x14ac:dyDescent="0.3">
      <c r="A115" s="462" t="s">
        <v>1791</v>
      </c>
    </row>
    <row r="116" spans="1:1" ht="48" x14ac:dyDescent="0.3">
      <c r="A116" s="462" t="s">
        <v>1792</v>
      </c>
    </row>
    <row r="117" spans="1:1" ht="24" x14ac:dyDescent="0.3">
      <c r="A117" s="462" t="s">
        <v>1793</v>
      </c>
    </row>
    <row r="118" spans="1:1" ht="24" x14ac:dyDescent="0.3">
      <c r="A118" s="462" t="s">
        <v>1794</v>
      </c>
    </row>
    <row r="119" spans="1:1" ht="24" x14ac:dyDescent="0.3">
      <c r="A119" s="462" t="s">
        <v>1795</v>
      </c>
    </row>
    <row r="120" spans="1:1" ht="24" x14ac:dyDescent="0.3">
      <c r="A120" s="462" t="s">
        <v>1796</v>
      </c>
    </row>
    <row r="121" spans="1:1" x14ac:dyDescent="0.3">
      <c r="A121" s="462" t="s">
        <v>1797</v>
      </c>
    </row>
    <row r="122" spans="1:1" ht="24" x14ac:dyDescent="0.3">
      <c r="A122" s="462" t="s">
        <v>1798</v>
      </c>
    </row>
    <row r="123" spans="1:1" ht="24" x14ac:dyDescent="0.3">
      <c r="A123" s="462" t="s">
        <v>1799</v>
      </c>
    </row>
    <row r="124" spans="1:1" x14ac:dyDescent="0.3">
      <c r="A124" s="462" t="s">
        <v>1800</v>
      </c>
    </row>
    <row r="125" spans="1:1" ht="24" x14ac:dyDescent="0.3">
      <c r="A125" s="462" t="s">
        <v>1801</v>
      </c>
    </row>
    <row r="126" spans="1:1" ht="48" x14ac:dyDescent="0.3">
      <c r="A126" s="462" t="s">
        <v>1802</v>
      </c>
    </row>
    <row r="127" spans="1:1" ht="24" x14ac:dyDescent="0.3">
      <c r="A127" s="462" t="s">
        <v>1803</v>
      </c>
    </row>
    <row r="128" spans="1:1" ht="24" x14ac:dyDescent="0.3">
      <c r="A128" s="462" t="s">
        <v>1804</v>
      </c>
    </row>
    <row r="129" spans="1:1" ht="24" x14ac:dyDescent="0.3">
      <c r="A129" s="462" t="s">
        <v>1805</v>
      </c>
    </row>
    <row r="130" spans="1:1" x14ac:dyDescent="0.3">
      <c r="A130" s="462"/>
    </row>
    <row r="131" spans="1:1" ht="24" x14ac:dyDescent="0.3">
      <c r="A131" s="462" t="s">
        <v>1806</v>
      </c>
    </row>
    <row r="132" spans="1:1" ht="24" x14ac:dyDescent="0.3">
      <c r="A132" s="462" t="s">
        <v>1807</v>
      </c>
    </row>
    <row r="133" spans="1:1" x14ac:dyDescent="0.3">
      <c r="A133" s="462" t="s">
        <v>1808</v>
      </c>
    </row>
    <row r="134" spans="1:1" x14ac:dyDescent="0.3">
      <c r="A134" s="462" t="s">
        <v>1809</v>
      </c>
    </row>
    <row r="135" spans="1:1" x14ac:dyDescent="0.3">
      <c r="A135" s="462"/>
    </row>
    <row r="136" spans="1:1" ht="24" x14ac:dyDescent="0.3">
      <c r="A136" s="462" t="s">
        <v>1810</v>
      </c>
    </row>
    <row r="137" spans="1:1" x14ac:dyDescent="0.3">
      <c r="A137" s="461"/>
    </row>
    <row r="138" spans="1:1" x14ac:dyDescent="0.3">
      <c r="A138" s="462" t="s">
        <v>1811</v>
      </c>
    </row>
    <row r="139" spans="1:1" ht="24" x14ac:dyDescent="0.3">
      <c r="A139" s="462" t="s">
        <v>1812</v>
      </c>
    </row>
    <row r="140" spans="1:1" ht="29" customHeight="1" x14ac:dyDescent="0.3">
      <c r="A140" s="462" t="s">
        <v>1844</v>
      </c>
    </row>
    <row r="141" spans="1:1" ht="24" x14ac:dyDescent="0.3">
      <c r="A141" s="462" t="s">
        <v>1813</v>
      </c>
    </row>
    <row r="142" spans="1:1" x14ac:dyDescent="0.3">
      <c r="A142" s="462" t="s">
        <v>1814</v>
      </c>
    </row>
    <row r="143" spans="1:1" ht="24" x14ac:dyDescent="0.3">
      <c r="A143" s="462" t="s">
        <v>1815</v>
      </c>
    </row>
    <row r="144" spans="1:1" x14ac:dyDescent="0.3">
      <c r="A144" s="462" t="s">
        <v>1816</v>
      </c>
    </row>
    <row r="145" spans="1:1" x14ac:dyDescent="0.3">
      <c r="A145" s="462" t="s">
        <v>1817</v>
      </c>
    </row>
    <row r="146" spans="1:1" x14ac:dyDescent="0.3">
      <c r="A146" s="462" t="s">
        <v>1818</v>
      </c>
    </row>
    <row r="147" spans="1:1" ht="24" x14ac:dyDescent="0.3">
      <c r="A147" s="462" t="s">
        <v>1819</v>
      </c>
    </row>
    <row r="148" spans="1:1" ht="24" x14ac:dyDescent="0.3">
      <c r="A148" s="462" t="s">
        <v>1820</v>
      </c>
    </row>
    <row r="149" spans="1:1" x14ac:dyDescent="0.3">
      <c r="A149" s="467"/>
    </row>
    <row r="150" spans="1:1" x14ac:dyDescent="0.3">
      <c r="A150" s="467"/>
    </row>
    <row r="151" spans="1:1" ht="14.5" x14ac:dyDescent="0.3">
      <c r="A151" s="468" t="s">
        <v>1696</v>
      </c>
    </row>
    <row r="152" spans="1:1" x14ac:dyDescent="0.3">
      <c r="A152" s="467"/>
    </row>
    <row r="153" spans="1:1" ht="36" x14ac:dyDescent="0.3">
      <c r="A153" s="462" t="s">
        <v>1821</v>
      </c>
    </row>
    <row r="154" spans="1:1" x14ac:dyDescent="0.3">
      <c r="A154" s="462"/>
    </row>
    <row r="155" spans="1:1" x14ac:dyDescent="0.3">
      <c r="A155" s="462" t="s">
        <v>1822</v>
      </c>
    </row>
    <row r="156" spans="1:1" x14ac:dyDescent="0.3">
      <c r="A156" s="461"/>
    </row>
    <row r="157" spans="1:1" ht="36" x14ac:dyDescent="0.3">
      <c r="A157" s="462" t="s">
        <v>1823</v>
      </c>
    </row>
    <row r="158" spans="1:1" x14ac:dyDescent="0.3">
      <c r="A158" s="461"/>
    </row>
    <row r="159" spans="1:1" ht="24" x14ac:dyDescent="0.3">
      <c r="A159" s="462" t="s">
        <v>1824</v>
      </c>
    </row>
    <row r="160" spans="1:1" x14ac:dyDescent="0.3">
      <c r="A160" s="461"/>
    </row>
    <row r="161" spans="1:1" x14ac:dyDescent="0.3">
      <c r="A161" s="462" t="s">
        <v>1825</v>
      </c>
    </row>
    <row r="162" spans="1:1" x14ac:dyDescent="0.3">
      <c r="A162" s="461"/>
    </row>
    <row r="163" spans="1:1" ht="24" x14ac:dyDescent="0.3">
      <c r="A163" s="462" t="s">
        <v>1826</v>
      </c>
    </row>
    <row r="164" spans="1:1" x14ac:dyDescent="0.3">
      <c r="A164" s="461"/>
    </row>
    <row r="165" spans="1:1" ht="24" x14ac:dyDescent="0.3">
      <c r="A165" s="462" t="s">
        <v>1827</v>
      </c>
    </row>
    <row r="166" spans="1:1" x14ac:dyDescent="0.3">
      <c r="A166" s="461"/>
    </row>
    <row r="167" spans="1:1" ht="24" x14ac:dyDescent="0.3">
      <c r="A167" s="462" t="s">
        <v>1828</v>
      </c>
    </row>
    <row r="168" spans="1:1" x14ac:dyDescent="0.3">
      <c r="A168" s="461"/>
    </row>
    <row r="169" spans="1:1" ht="36" x14ac:dyDescent="0.3">
      <c r="A169" s="462" t="s">
        <v>1829</v>
      </c>
    </row>
    <row r="170" spans="1:1" x14ac:dyDescent="0.3">
      <c r="A170" s="461"/>
    </row>
    <row r="171" spans="1:1" x14ac:dyDescent="0.3">
      <c r="A171" s="462" t="s">
        <v>11</v>
      </c>
    </row>
    <row r="172" spans="1:1" x14ac:dyDescent="0.3">
      <c r="A172" s="462"/>
    </row>
    <row r="173" spans="1:1" x14ac:dyDescent="0.3">
      <c r="A173" s="469"/>
    </row>
    <row r="174" spans="1:1" x14ac:dyDescent="0.3">
      <c r="A174" s="461" t="s">
        <v>1830</v>
      </c>
    </row>
    <row r="175" spans="1:1" x14ac:dyDescent="0.3">
      <c r="A175" s="461" t="s">
        <v>1831</v>
      </c>
    </row>
    <row r="176" spans="1:1" x14ac:dyDescent="0.3">
      <c r="A176" s="461" t="s">
        <v>1832</v>
      </c>
    </row>
    <row r="177" spans="1:1" x14ac:dyDescent="0.3">
      <c r="A177" s="461" t="s">
        <v>1833</v>
      </c>
    </row>
    <row r="178" spans="1:1" x14ac:dyDescent="0.3">
      <c r="A178" s="461" t="s">
        <v>1834</v>
      </c>
    </row>
    <row r="179" spans="1:1" x14ac:dyDescent="0.3">
      <c r="A179" s="461" t="s">
        <v>1835</v>
      </c>
    </row>
    <row r="180" spans="1:1" x14ac:dyDescent="0.3">
      <c r="A180" s="461" t="s">
        <v>1836</v>
      </c>
    </row>
    <row r="181" spans="1:1" x14ac:dyDescent="0.3">
      <c r="A181" s="461" t="s">
        <v>1837</v>
      </c>
    </row>
    <row r="182" spans="1:1" x14ac:dyDescent="0.3">
      <c r="A182" s="461" t="s">
        <v>1838</v>
      </c>
    </row>
    <row r="183" spans="1:1" x14ac:dyDescent="0.3">
      <c r="A183" s="469"/>
    </row>
    <row r="184" spans="1:1" x14ac:dyDescent="0.3">
      <c r="A184" s="461"/>
    </row>
    <row r="185" spans="1:1" ht="24" x14ac:dyDescent="0.3">
      <c r="A185" s="462" t="s">
        <v>1839</v>
      </c>
    </row>
    <row r="186" spans="1:1" x14ac:dyDescent="0.3">
      <c r="A186" s="461"/>
    </row>
    <row r="187" spans="1:1" x14ac:dyDescent="0.3">
      <c r="A187" s="462" t="s">
        <v>1840</v>
      </c>
    </row>
    <row r="188" spans="1:1" x14ac:dyDescent="0.3"/>
    <row r="189" spans="1:1" x14ac:dyDescent="0.3"/>
  </sheetData>
  <sheetProtection algorithmName="SHA-512" hashValue="93PC21ph6HO+rtpF61poljgKBU4lPw38VV9xsA5Zvuog5jSJUriYcC2lbOFM8xWQjuKT6DL4srCHYqIn/YI8xw==" saltValue="R20buO8IzPdOGRxt1uAeyw==" spinCount="100000" sheet="1" objects="1" scenarios="1"/>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9D1D0-262F-B847-B2BD-93CC4E69A1B0}">
  <dimension ref="A1:X106"/>
  <sheetViews>
    <sheetView showGridLines="0" showRowColHeaders="0" showRuler="0" zoomScale="110" zoomScaleNormal="110" zoomScalePageLayoutView="115" workbookViewId="0">
      <selection activeCell="B52" sqref="B52:D52"/>
    </sheetView>
  </sheetViews>
  <sheetFormatPr defaultColWidth="0" defaultRowHeight="0" customHeight="1" zeroHeight="1" x14ac:dyDescent="0.25"/>
  <cols>
    <col min="1" max="1" width="4.1640625" style="2" bestFit="1" customWidth="1"/>
    <col min="2" max="2" width="33.1640625" style="1" customWidth="1"/>
    <col min="3" max="3" width="11.83203125" style="1" customWidth="1"/>
    <col min="4" max="4" width="41.6640625" style="1" customWidth="1"/>
    <col min="5" max="5" width="11.5" style="1" hidden="1" customWidth="1"/>
    <col min="6" max="6" width="14.33203125" style="1" hidden="1" customWidth="1"/>
    <col min="7" max="7" width="17.1640625" style="1" hidden="1" customWidth="1"/>
    <col min="8" max="21" width="10.83203125" style="1" hidden="1" customWidth="1"/>
    <col min="22" max="16382" width="10.83203125" style="1" customWidth="1"/>
    <col min="16383" max="16383" width="9" style="1" customWidth="1"/>
    <col min="16384" max="16384" width="8.83203125" style="1" customWidth="1"/>
  </cols>
  <sheetData>
    <row r="1" spans="1:24" ht="18" x14ac:dyDescent="0.3">
      <c r="A1" s="548" t="s">
        <v>577</v>
      </c>
      <c r="B1" s="548"/>
      <c r="C1" s="548"/>
      <c r="D1" s="549"/>
      <c r="X1" s="69" t="s">
        <v>1968</v>
      </c>
    </row>
    <row r="2" spans="1:24" ht="12.5" x14ac:dyDescent="0.25">
      <c r="C2" s="550"/>
      <c r="D2" s="550"/>
    </row>
    <row r="3" spans="1:24" ht="13" x14ac:dyDescent="0.3">
      <c r="A3" s="3" t="s">
        <v>576</v>
      </c>
      <c r="B3" s="69" t="s">
        <v>575</v>
      </c>
      <c r="C3" s="5"/>
      <c r="D3" s="5"/>
    </row>
    <row r="4" spans="1:24" ht="16" customHeight="1" x14ac:dyDescent="0.25">
      <c r="A4" s="3"/>
      <c r="B4" s="1" t="s">
        <v>574</v>
      </c>
      <c r="C4" s="5"/>
      <c r="D4" s="217" t="s">
        <v>1969</v>
      </c>
    </row>
    <row r="5" spans="1:24" ht="16" customHeight="1" x14ac:dyDescent="0.25">
      <c r="A5" s="3"/>
      <c r="B5" s="1" t="s">
        <v>573</v>
      </c>
      <c r="C5" s="5"/>
      <c r="D5" s="217" t="s">
        <v>1970</v>
      </c>
    </row>
    <row r="6" spans="1:24" ht="16" customHeight="1" x14ac:dyDescent="0.25">
      <c r="A6" s="3"/>
      <c r="B6" s="1" t="s">
        <v>572</v>
      </c>
      <c r="C6" s="5"/>
      <c r="D6" s="217" t="s">
        <v>1971</v>
      </c>
    </row>
    <row r="7" spans="1:24" ht="16" customHeight="1" x14ac:dyDescent="0.25">
      <c r="A7" s="3"/>
      <c r="B7" s="1" t="s">
        <v>571</v>
      </c>
      <c r="C7" s="5"/>
      <c r="D7" s="217" t="s">
        <v>582</v>
      </c>
    </row>
    <row r="8" spans="1:24" ht="16" customHeight="1" x14ac:dyDescent="0.25">
      <c r="A8" s="3"/>
      <c r="B8" s="1" t="s">
        <v>558</v>
      </c>
      <c r="C8" s="5"/>
      <c r="D8" s="217" t="s">
        <v>582</v>
      </c>
    </row>
    <row r="9" spans="1:24" ht="16" customHeight="1" x14ac:dyDescent="0.25">
      <c r="A9" s="3"/>
      <c r="B9" s="1" t="s">
        <v>549</v>
      </c>
      <c r="C9" s="5"/>
      <c r="D9" s="217" t="s">
        <v>1972</v>
      </c>
    </row>
    <row r="10" spans="1:24" ht="16" customHeight="1" x14ac:dyDescent="0.25">
      <c r="A10" s="3"/>
      <c r="B10" s="1" t="s">
        <v>548</v>
      </c>
      <c r="C10" s="5"/>
      <c r="D10" s="217" t="s">
        <v>1973</v>
      </c>
    </row>
    <row r="11" spans="1:24" ht="16" customHeight="1" x14ac:dyDescent="0.25">
      <c r="A11" s="3"/>
      <c r="B11" s="1" t="s">
        <v>547</v>
      </c>
      <c r="C11" s="5"/>
      <c r="D11" s="217" t="s">
        <v>1974</v>
      </c>
    </row>
    <row r="12" spans="1:24" ht="16" customHeight="1" x14ac:dyDescent="0.25">
      <c r="A12" s="3"/>
      <c r="B12" s="1" t="s">
        <v>546</v>
      </c>
      <c r="C12" s="5"/>
      <c r="D12" s="217">
        <v>47374</v>
      </c>
    </row>
    <row r="13" spans="1:24" ht="16" customHeight="1" x14ac:dyDescent="0.25">
      <c r="A13" s="3"/>
      <c r="B13" s="1" t="s">
        <v>570</v>
      </c>
      <c r="C13" s="5"/>
      <c r="D13" s="217" t="s">
        <v>582</v>
      </c>
    </row>
    <row r="14" spans="1:24" ht="16" customHeight="1" x14ac:dyDescent="0.25">
      <c r="A14" s="3"/>
      <c r="B14" s="1" t="s">
        <v>569</v>
      </c>
      <c r="C14" s="5"/>
      <c r="D14" s="217">
        <v>7659831200</v>
      </c>
    </row>
    <row r="15" spans="1:24" ht="16" customHeight="1" x14ac:dyDescent="0.25">
      <c r="A15" s="3"/>
      <c r="B15" s="1" t="s">
        <v>568</v>
      </c>
      <c r="C15" s="5"/>
      <c r="D15" s="217" t="s">
        <v>582</v>
      </c>
    </row>
    <row r="16" spans="1:24" ht="16" customHeight="1" x14ac:dyDescent="0.25">
      <c r="A16" s="3"/>
      <c r="B16" s="1" t="s">
        <v>567</v>
      </c>
      <c r="C16" s="5"/>
      <c r="D16" s="217" t="s">
        <v>582</v>
      </c>
    </row>
    <row r="17" spans="1:8" ht="16" customHeight="1" x14ac:dyDescent="0.25">
      <c r="A17" s="3"/>
      <c r="B17" s="1" t="s">
        <v>566</v>
      </c>
      <c r="C17" s="5"/>
      <c r="D17" s="218" t="s">
        <v>1975</v>
      </c>
    </row>
    <row r="18" spans="1:8" ht="13" x14ac:dyDescent="0.25">
      <c r="A18" s="3"/>
      <c r="C18" s="5"/>
      <c r="D18" s="156"/>
    </row>
    <row r="19" spans="1:8" ht="13" x14ac:dyDescent="0.25">
      <c r="A19" s="3"/>
      <c r="B19" s="551" t="s">
        <v>565</v>
      </c>
      <c r="C19" s="168"/>
      <c r="D19" s="187" t="s">
        <v>1108</v>
      </c>
      <c r="E19" s="48"/>
      <c r="F19" s="48"/>
    </row>
    <row r="20" spans="1:8" ht="23" customHeight="1" x14ac:dyDescent="0.25">
      <c r="A20" s="3"/>
      <c r="B20" s="551"/>
      <c r="C20" s="168"/>
      <c r="D20" s="219" t="s">
        <v>1976</v>
      </c>
      <c r="E20" s="48"/>
      <c r="F20" s="48" t="e" cm="1">
        <f t="array" ref="F20">_xlfn.IFS(D20=FALSE, "", D20=TRUE, "No")</f>
        <v>#N/A</v>
      </c>
      <c r="H20" s="1" t="str" cm="1">
        <f t="array" ref="H20">_xlfn.IFS(D20="YES", "Yes", D20="yes", "Yes", D20="Yes", "Yes", D20="NO", "No", D20="no", "No", D20="No", "No")</f>
        <v>Yes</v>
      </c>
    </row>
    <row r="21" spans="1:8" ht="13" x14ac:dyDescent="0.25">
      <c r="A21" s="3"/>
      <c r="B21" s="89"/>
      <c r="C21" s="5"/>
      <c r="D21" s="5"/>
      <c r="E21" s="48"/>
      <c r="F21" s="48"/>
    </row>
    <row r="22" spans="1:8" ht="13" x14ac:dyDescent="0.25">
      <c r="A22" s="3"/>
      <c r="B22" s="1" t="s">
        <v>564</v>
      </c>
      <c r="C22" s="5"/>
      <c r="D22" s="5"/>
    </row>
    <row r="23" spans="1:8" ht="22" customHeight="1" x14ac:dyDescent="0.25">
      <c r="A23" s="3"/>
      <c r="B23" s="552" t="s">
        <v>1977</v>
      </c>
      <c r="C23" s="553"/>
      <c r="D23" s="554"/>
    </row>
    <row r="24" spans="1:8" ht="29.25" customHeight="1" x14ac:dyDescent="0.25">
      <c r="A24" s="3"/>
      <c r="C24" s="5"/>
      <c r="D24" s="5"/>
    </row>
    <row r="25" spans="1:8" ht="61" customHeight="1" x14ac:dyDescent="0.25">
      <c r="A25" s="3" t="s">
        <v>563</v>
      </c>
      <c r="B25" s="550" t="s">
        <v>562</v>
      </c>
      <c r="C25" s="550"/>
      <c r="D25" s="550"/>
    </row>
    <row r="26" spans="1:8" ht="33" customHeight="1" x14ac:dyDescent="0.25">
      <c r="A26" s="3"/>
      <c r="B26" s="545" t="s">
        <v>582</v>
      </c>
      <c r="C26" s="546"/>
      <c r="D26" s="547"/>
    </row>
    <row r="27" spans="1:8" ht="12.5" x14ac:dyDescent="0.25">
      <c r="C27" s="5"/>
      <c r="D27" s="5"/>
    </row>
    <row r="28" spans="1:8" ht="13" x14ac:dyDescent="0.3">
      <c r="A28" s="3" t="s">
        <v>561</v>
      </c>
      <c r="B28" s="69" t="s">
        <v>560</v>
      </c>
      <c r="C28" s="57"/>
      <c r="D28" s="155"/>
    </row>
    <row r="29" spans="1:8" ht="16" customHeight="1" x14ac:dyDescent="0.25">
      <c r="A29" s="3"/>
      <c r="B29" s="1" t="s">
        <v>559</v>
      </c>
      <c r="C29" s="154"/>
      <c r="D29" s="220" t="s">
        <v>1978</v>
      </c>
    </row>
    <row r="30" spans="1:8" ht="16" customHeight="1" x14ac:dyDescent="0.25">
      <c r="A30" s="3"/>
      <c r="B30" s="1" t="s">
        <v>558</v>
      </c>
      <c r="C30" s="154"/>
      <c r="D30" s="220" t="s">
        <v>1971</v>
      </c>
    </row>
    <row r="31" spans="1:8" ht="16" customHeight="1" x14ac:dyDescent="0.25">
      <c r="A31" s="3"/>
      <c r="B31" s="37" t="s">
        <v>556</v>
      </c>
      <c r="C31" s="154"/>
      <c r="D31" s="220" t="s">
        <v>1979</v>
      </c>
    </row>
    <row r="32" spans="1:8" ht="16" customHeight="1" x14ac:dyDescent="0.25">
      <c r="A32" s="3"/>
      <c r="B32" s="35" t="s">
        <v>557</v>
      </c>
      <c r="C32" s="154"/>
      <c r="D32" s="220"/>
    </row>
    <row r="33" spans="1:4" ht="16" customHeight="1" x14ac:dyDescent="0.25">
      <c r="A33" s="3"/>
      <c r="B33" s="35" t="s">
        <v>556</v>
      </c>
      <c r="C33" s="154"/>
      <c r="D33" s="220"/>
    </row>
    <row r="34" spans="1:4" ht="16" customHeight="1" x14ac:dyDescent="0.25">
      <c r="A34" s="3"/>
      <c r="B34" s="35" t="s">
        <v>555</v>
      </c>
      <c r="C34" s="154"/>
      <c r="D34" s="220"/>
    </row>
    <row r="35" spans="1:4" ht="16" customHeight="1" x14ac:dyDescent="0.25">
      <c r="A35" s="3"/>
      <c r="B35" s="1" t="s">
        <v>554</v>
      </c>
      <c r="C35" s="154"/>
      <c r="D35" s="220">
        <v>7659831200</v>
      </c>
    </row>
    <row r="36" spans="1:4" ht="16" customHeight="1" x14ac:dyDescent="0.25">
      <c r="A36" s="3"/>
      <c r="B36" s="1" t="s">
        <v>553</v>
      </c>
      <c r="C36" s="153"/>
      <c r="D36" s="218" t="s">
        <v>1980</v>
      </c>
    </row>
    <row r="37" spans="1:4" ht="16" customHeight="1" x14ac:dyDescent="0.25">
      <c r="A37" s="3"/>
      <c r="B37" s="1" t="s">
        <v>552</v>
      </c>
      <c r="C37" s="154"/>
      <c r="D37" s="220">
        <v>7659831600</v>
      </c>
    </row>
    <row r="38" spans="1:4" ht="16" customHeight="1" x14ac:dyDescent="0.25">
      <c r="A38" s="3"/>
      <c r="B38" s="1" t="s">
        <v>551</v>
      </c>
      <c r="C38" s="154"/>
      <c r="D38" s="220"/>
    </row>
    <row r="39" spans="1:4" ht="16" customHeight="1" x14ac:dyDescent="0.25">
      <c r="A39" s="3"/>
      <c r="B39" s="1" t="s">
        <v>550</v>
      </c>
      <c r="C39" s="154"/>
      <c r="D39" s="220" t="s">
        <v>1971</v>
      </c>
    </row>
    <row r="40" spans="1:4" ht="16" customHeight="1" x14ac:dyDescent="0.25">
      <c r="A40" s="3"/>
      <c r="B40" s="1" t="s">
        <v>549</v>
      </c>
      <c r="C40" s="154"/>
      <c r="D40" s="220" t="s">
        <v>1972</v>
      </c>
    </row>
    <row r="41" spans="1:4" ht="16" customHeight="1" x14ac:dyDescent="0.25">
      <c r="A41" s="3"/>
      <c r="B41" s="1" t="s">
        <v>548</v>
      </c>
      <c r="C41" s="154"/>
      <c r="D41" s="220" t="s">
        <v>1973</v>
      </c>
    </row>
    <row r="42" spans="1:4" ht="16" customHeight="1" x14ac:dyDescent="0.25">
      <c r="A42" s="3"/>
      <c r="B42" s="1" t="s">
        <v>547</v>
      </c>
      <c r="C42" s="154"/>
      <c r="D42" s="220" t="s">
        <v>1981</v>
      </c>
    </row>
    <row r="43" spans="1:4" ht="16" customHeight="1" x14ac:dyDescent="0.25">
      <c r="A43" s="3"/>
      <c r="B43" s="1" t="s">
        <v>546</v>
      </c>
      <c r="C43" s="154"/>
      <c r="D43" s="220">
        <v>47374</v>
      </c>
    </row>
    <row r="44" spans="1:4" ht="16" customHeight="1" x14ac:dyDescent="0.25">
      <c r="A44" s="3"/>
      <c r="B44" s="1" t="s">
        <v>545</v>
      </c>
      <c r="C44" s="154"/>
      <c r="D44" s="220">
        <v>7659831560</v>
      </c>
    </row>
    <row r="45" spans="1:4" ht="16" customHeight="1" x14ac:dyDescent="0.25">
      <c r="A45" s="3"/>
      <c r="B45" s="1" t="s">
        <v>544</v>
      </c>
      <c r="C45" s="153"/>
      <c r="D45" s="218" t="s">
        <v>1982</v>
      </c>
    </row>
    <row r="46" spans="1:4" ht="12.75" customHeight="1" x14ac:dyDescent="0.25">
      <c r="A46" s="3"/>
      <c r="C46" s="153"/>
      <c r="D46" s="156"/>
    </row>
    <row r="47" spans="1:4" ht="16" customHeight="1" x14ac:dyDescent="0.25">
      <c r="A47" s="3"/>
      <c r="B47" s="550" t="s">
        <v>543</v>
      </c>
      <c r="C47" s="550"/>
      <c r="D47" s="550"/>
    </row>
    <row r="48" spans="1:4" ht="16" customHeight="1" x14ac:dyDescent="0.25">
      <c r="A48" s="3"/>
      <c r="B48" s="557" t="s">
        <v>1983</v>
      </c>
      <c r="C48" s="557"/>
      <c r="D48" s="557"/>
    </row>
    <row r="49" spans="1:5" ht="16" customHeight="1" x14ac:dyDescent="0.25">
      <c r="A49" s="3"/>
      <c r="B49" s="558" t="s">
        <v>542</v>
      </c>
      <c r="C49" s="558"/>
      <c r="D49" s="558"/>
    </row>
    <row r="50" spans="1:5" ht="16" customHeight="1" x14ac:dyDescent="0.25">
      <c r="A50" s="3"/>
      <c r="B50" s="557"/>
      <c r="C50" s="557"/>
      <c r="D50" s="557"/>
    </row>
    <row r="51" spans="1:5" ht="12.5" x14ac:dyDescent="0.25"/>
    <row r="52" spans="1:5" ht="13" x14ac:dyDescent="0.25">
      <c r="A52" s="3" t="s">
        <v>541</v>
      </c>
      <c r="B52" s="559" t="s">
        <v>540</v>
      </c>
      <c r="C52" s="549"/>
      <c r="D52" s="549"/>
    </row>
    <row r="53" spans="1:5" ht="8" customHeight="1" x14ac:dyDescent="0.25">
      <c r="A53" s="224"/>
      <c r="B53" s="39"/>
    </row>
    <row r="54" spans="1:5" ht="16" customHeight="1" x14ac:dyDescent="0.25">
      <c r="A54" s="473"/>
      <c r="B54" s="51" t="s">
        <v>539</v>
      </c>
      <c r="C54" s="230">
        <v>2</v>
      </c>
      <c r="D54" s="148" t="str" cm="1">
        <f t="array" ref="D54">_xlfn.IFS(C54=1, "Public",C54=2, "Private (nonprofit)", C54=3, "Proprietary")</f>
        <v>Private (nonprofit)</v>
      </c>
    </row>
    <row r="55" spans="1:5" ht="16" customHeight="1" x14ac:dyDescent="0.25">
      <c r="A55" s="474"/>
      <c r="B55" s="51" t="s">
        <v>538</v>
      </c>
      <c r="C55" s="190"/>
      <c r="D55" s="148"/>
    </row>
    <row r="56" spans="1:5" ht="16" customHeight="1" x14ac:dyDescent="0.25">
      <c r="A56" s="475"/>
      <c r="B56" s="51" t="s">
        <v>537</v>
      </c>
      <c r="C56" s="200"/>
      <c r="D56" s="148"/>
    </row>
    <row r="57" spans="1:5" ht="13" x14ac:dyDescent="0.3">
      <c r="A57" s="224"/>
      <c r="B57" s="69"/>
    </row>
    <row r="58" spans="1:5" ht="13" x14ac:dyDescent="0.3">
      <c r="A58" s="3" t="s">
        <v>536</v>
      </c>
      <c r="B58" s="69" t="s">
        <v>1225</v>
      </c>
    </row>
    <row r="59" spans="1:5" ht="13" x14ac:dyDescent="0.3">
      <c r="A59" s="3"/>
      <c r="B59" s="69"/>
    </row>
    <row r="60" spans="1:5" ht="17" customHeight="1" x14ac:dyDescent="0.25">
      <c r="A60" s="476"/>
      <c r="B60" s="11" t="s">
        <v>535</v>
      </c>
      <c r="C60" s="230">
        <v>1</v>
      </c>
      <c r="D60" s="148" t="str" cm="1">
        <f t="array" ref="D60">_xlfn.IFS($C$60=1, "Coeducational",$C$60=2, "Men's College", $C$60=3, "Women's College")</f>
        <v>Coeducational</v>
      </c>
      <c r="E60" s="148"/>
    </row>
    <row r="61" spans="1:5" ht="17" customHeight="1" x14ac:dyDescent="0.25">
      <c r="A61" s="476"/>
      <c r="B61" s="11" t="s">
        <v>534</v>
      </c>
      <c r="C61" s="190"/>
      <c r="D61" s="200"/>
      <c r="E61" s="148"/>
    </row>
    <row r="62" spans="1:5" ht="17" customHeight="1" x14ac:dyDescent="0.25">
      <c r="A62" s="476"/>
      <c r="B62" s="11" t="s">
        <v>533</v>
      </c>
      <c r="C62" s="190"/>
      <c r="D62" s="200"/>
      <c r="E62" s="148"/>
    </row>
    <row r="63" spans="1:5" ht="24" customHeight="1" x14ac:dyDescent="0.3">
      <c r="A63" s="224"/>
      <c r="B63" s="225"/>
      <c r="C63" s="200"/>
      <c r="D63" s="200"/>
      <c r="E63" s="148"/>
    </row>
    <row r="64" spans="1:5" ht="13" x14ac:dyDescent="0.3">
      <c r="A64" s="3" t="s">
        <v>532</v>
      </c>
      <c r="B64" s="69" t="s">
        <v>1226</v>
      </c>
      <c r="C64" s="227"/>
      <c r="D64" s="200"/>
      <c r="E64" s="148"/>
    </row>
    <row r="65" spans="1:8" ht="13" x14ac:dyDescent="0.3">
      <c r="A65" s="3"/>
      <c r="B65" s="69"/>
      <c r="C65" s="227"/>
      <c r="D65" s="200"/>
      <c r="E65" s="148"/>
    </row>
    <row r="66" spans="1:8" ht="16" customHeight="1" x14ac:dyDescent="0.25">
      <c r="A66" s="476"/>
      <c r="B66" s="11" t="s">
        <v>531</v>
      </c>
      <c r="C66" s="231">
        <v>1</v>
      </c>
      <c r="D66" s="560"/>
      <c r="E66" s="148" t="str" cm="1">
        <f t="array" ref="E66">_xlfn.IFS(C66=1, "Semester",C66=2, "Quarter", C66=3, "Trimester", C66=4, "4-1-4", C66=5, "Continuous", C66=6, "Differs by program", C66=7, "Other")</f>
        <v>Semester</v>
      </c>
    </row>
    <row r="67" spans="1:8" ht="16" customHeight="1" x14ac:dyDescent="0.25">
      <c r="A67" s="476"/>
      <c r="B67" s="11" t="s">
        <v>530</v>
      </c>
      <c r="C67" s="228"/>
      <c r="D67" s="560"/>
      <c r="E67" s="148"/>
    </row>
    <row r="68" spans="1:8" ht="16" customHeight="1" x14ac:dyDescent="0.25">
      <c r="A68" s="476"/>
      <c r="B68" s="11" t="s">
        <v>529</v>
      </c>
      <c r="C68" s="228"/>
      <c r="D68" s="560"/>
      <c r="E68" s="148"/>
    </row>
    <row r="69" spans="1:8" ht="16" customHeight="1" x14ac:dyDescent="0.25">
      <c r="A69" s="476"/>
      <c r="B69" s="531" t="s">
        <v>528</v>
      </c>
      <c r="C69" s="228"/>
      <c r="D69" s="200"/>
      <c r="E69" s="148"/>
    </row>
    <row r="70" spans="1:8" ht="16" customHeight="1" x14ac:dyDescent="0.25">
      <c r="A70" s="476"/>
      <c r="B70" s="11" t="s">
        <v>527</v>
      </c>
      <c r="C70" s="228"/>
      <c r="D70" s="200"/>
      <c r="E70" s="148"/>
    </row>
    <row r="71" spans="1:8" ht="16" customHeight="1" x14ac:dyDescent="0.25">
      <c r="A71" s="476"/>
      <c r="B71" s="11" t="s">
        <v>526</v>
      </c>
      <c r="C71" s="229"/>
      <c r="D71" s="229"/>
      <c r="E71" s="148"/>
    </row>
    <row r="72" spans="1:8" ht="30" customHeight="1" x14ac:dyDescent="0.25">
      <c r="A72" s="476"/>
      <c r="B72" s="11" t="s">
        <v>525</v>
      </c>
      <c r="C72" s="229"/>
      <c r="D72" s="229"/>
      <c r="E72" s="148"/>
    </row>
    <row r="73" spans="1:8" ht="20" customHeight="1" x14ac:dyDescent="0.3">
      <c r="A73" s="3"/>
      <c r="B73" s="152" t="s">
        <v>524</v>
      </c>
    </row>
    <row r="74" spans="1:8" ht="24" customHeight="1" x14ac:dyDescent="0.25">
      <c r="A74" s="60"/>
      <c r="B74" s="555"/>
      <c r="C74" s="555"/>
      <c r="D74" s="555"/>
    </row>
    <row r="75" spans="1:8" ht="12.5" x14ac:dyDescent="0.25">
      <c r="B75" s="221"/>
      <c r="C75" s="222"/>
      <c r="D75" s="222"/>
    </row>
    <row r="76" spans="1:8" ht="13" x14ac:dyDescent="0.3">
      <c r="A76" s="3"/>
      <c r="B76" s="556"/>
      <c r="C76" s="556"/>
      <c r="D76" s="556"/>
    </row>
    <row r="77" spans="1:8" ht="23" customHeight="1" x14ac:dyDescent="0.3">
      <c r="A77" s="98" t="s">
        <v>512</v>
      </c>
      <c r="B77" s="69" t="s">
        <v>523</v>
      </c>
    </row>
    <row r="78" spans="1:8" ht="13" x14ac:dyDescent="0.3">
      <c r="A78" s="3"/>
      <c r="B78" s="69"/>
    </row>
    <row r="79" spans="1:8" ht="16" customHeight="1" x14ac:dyDescent="0.25">
      <c r="A79" s="60"/>
      <c r="B79" s="51" t="s">
        <v>522</v>
      </c>
      <c r="C79" s="226" t="b">
        <v>0</v>
      </c>
      <c r="H79" s="1" t="str" cm="1">
        <f t="array" ref="H79">_xlfn.IFS($C$79= TRUE, "Certificate|",$C$79=FALSE, "")</f>
        <v/>
      </c>
    </row>
    <row r="80" spans="1:8" ht="16" customHeight="1" x14ac:dyDescent="0.25">
      <c r="A80" s="60"/>
      <c r="B80" s="51" t="s">
        <v>521</v>
      </c>
      <c r="C80" s="226" t="b">
        <v>0</v>
      </c>
      <c r="H80" s="1" t="str" cm="1">
        <f t="array" ref="H80">_xlfn.IFS($C$80= TRUE, "Diploma|",$C$80=FALSE, "")</f>
        <v/>
      </c>
    </row>
    <row r="81" spans="1:8" ht="16" customHeight="1" x14ac:dyDescent="0.25">
      <c r="A81" s="60"/>
      <c r="B81" s="51" t="s">
        <v>292</v>
      </c>
      <c r="C81" s="226" t="b">
        <v>0</v>
      </c>
      <c r="H81" s="1" t="str" cm="1">
        <f t="array" ref="H81">_xlfn.IFS($C$81= TRUE, "Associate|",$C$81=FALSE, "")</f>
        <v/>
      </c>
    </row>
    <row r="82" spans="1:8" ht="16" customHeight="1" x14ac:dyDescent="0.25">
      <c r="A82" s="60"/>
      <c r="B82" s="51" t="s">
        <v>520</v>
      </c>
      <c r="C82" s="226" t="b">
        <v>0</v>
      </c>
      <c r="H82" s="1" t="str" cm="1">
        <f t="array" ref="H82">_xlfn.IFS($C$82=TRUE, "Transfer|",$C$82=FALSE, "")</f>
        <v/>
      </c>
    </row>
    <row r="83" spans="1:8" ht="16" customHeight="1" x14ac:dyDescent="0.25">
      <c r="A83" s="60"/>
      <c r="B83" s="51" t="s">
        <v>519</v>
      </c>
      <c r="C83" s="226" t="b">
        <v>0</v>
      </c>
      <c r="H83" s="1" t="str" cm="1">
        <f t="array" ref="H83">_xlfn.IFS($C$83=TRUE, "Terminal|",$C$83=FALSE, "")</f>
        <v/>
      </c>
    </row>
    <row r="84" spans="1:8" ht="16" customHeight="1" x14ac:dyDescent="0.25">
      <c r="A84" s="60"/>
      <c r="B84" s="51" t="s">
        <v>518</v>
      </c>
      <c r="C84" s="226" t="b">
        <v>1</v>
      </c>
      <c r="H84" s="1" t="str" cm="1">
        <f t="array" ref="H84">_xlfn.IFS($C$84=TRUE, "Bachelor's|",$C$84=FALSE, "")</f>
        <v>Bachelor's|</v>
      </c>
    </row>
    <row r="85" spans="1:8" ht="16" customHeight="1" x14ac:dyDescent="0.25">
      <c r="A85" s="60"/>
      <c r="B85" s="51" t="s">
        <v>517</v>
      </c>
      <c r="C85" s="226" t="b">
        <v>1</v>
      </c>
      <c r="H85" s="1" t="str" cm="1">
        <f t="array" ref="H85">_xlfn.IFS($C$85= TRUE, "Postbachelor's certificate|",$C$85=FALSE, "")</f>
        <v>Postbachelor's certificate|</v>
      </c>
    </row>
    <row r="86" spans="1:8" ht="16" customHeight="1" x14ac:dyDescent="0.25">
      <c r="A86" s="60"/>
      <c r="B86" s="51" t="s">
        <v>516</v>
      </c>
      <c r="C86" s="226" t="b">
        <v>1</v>
      </c>
      <c r="H86" s="1" t="str" cm="1">
        <f t="array" ref="H86">_xlfn.IFS($C$86= TRUE, "Master's|",$C$86=FALSE, "")</f>
        <v>Master's|</v>
      </c>
    </row>
    <row r="87" spans="1:8" ht="16" customHeight="1" x14ac:dyDescent="0.25">
      <c r="A87" s="60"/>
      <c r="B87" s="51" t="s">
        <v>515</v>
      </c>
      <c r="C87" s="226" t="b">
        <v>0</v>
      </c>
      <c r="H87" s="1" t="str" cm="1">
        <f t="array" ref="H87">_xlfn.IFS($C$87= TRUE, "Post-master's certificate|",$C$87=FALSE, "")</f>
        <v/>
      </c>
    </row>
    <row r="88" spans="1:8" ht="16" customHeight="1" x14ac:dyDescent="0.25">
      <c r="A88" s="60"/>
      <c r="B88" s="151" t="s">
        <v>514</v>
      </c>
      <c r="C88" s="226" t="b">
        <v>0</v>
      </c>
      <c r="H88" s="1" t="str" cm="1">
        <f t="array" ref="H88">_xlfn.IFS($C$88= TRUE, "Doctoral degree - research/scholarship|",$C$88=FALSE, "")</f>
        <v/>
      </c>
    </row>
    <row r="89" spans="1:8" ht="16" customHeight="1" x14ac:dyDescent="0.25">
      <c r="A89" s="60"/>
      <c r="B89" s="151" t="s">
        <v>513</v>
      </c>
      <c r="C89" s="226" t="b">
        <v>0</v>
      </c>
      <c r="H89" s="1" t="str" cm="1">
        <f t="array" ref="H89">_xlfn.IFS($C$89= TRUE, "Doctoral degree - professional practice|",$C$89=FALSE, "")</f>
        <v/>
      </c>
    </row>
    <row r="90" spans="1:8" ht="16" customHeight="1" x14ac:dyDescent="0.25">
      <c r="A90" s="60"/>
      <c r="B90" s="51" t="s">
        <v>511</v>
      </c>
      <c r="C90" s="226" t="b">
        <v>0</v>
      </c>
      <c r="H90" s="1" t="str" cm="1">
        <f t="array" ref="H90">_xlfn.IFS($C$90= TRUE, "Doctoral degree - other|",$C$90=FALSE, "")</f>
        <v/>
      </c>
    </row>
    <row r="91" spans="1:8" ht="13" x14ac:dyDescent="0.25">
      <c r="A91" s="416" t="s">
        <v>512</v>
      </c>
      <c r="B91" s="148" t="s">
        <v>511</v>
      </c>
      <c r="C91" s="150"/>
    </row>
    <row r="92" spans="1:8" ht="12.5" x14ac:dyDescent="0.25">
      <c r="A92" s="149"/>
      <c r="B92" s="148"/>
      <c r="C92" s="148"/>
    </row>
    <row r="93" spans="1:8" ht="13" x14ac:dyDescent="0.3">
      <c r="A93" s="202" t="s">
        <v>1276</v>
      </c>
      <c r="B93" s="203" t="s">
        <v>1277</v>
      </c>
      <c r="C93" s="148"/>
    </row>
    <row r="94" spans="1:8" ht="32" customHeight="1" x14ac:dyDescent="0.25">
      <c r="B94" s="544" t="s">
        <v>1660</v>
      </c>
      <c r="C94" s="544"/>
      <c r="D94" s="544"/>
    </row>
    <row r="95" spans="1:8" ht="8" customHeight="1" x14ac:dyDescent="0.25"/>
    <row r="96" spans="1:8" ht="22" customHeight="1" x14ac:dyDescent="0.25">
      <c r="B96" s="543"/>
      <c r="C96" s="543"/>
      <c r="D96" s="543"/>
    </row>
    <row r="97" spans="1:1" ht="12.5" x14ac:dyDescent="0.25"/>
    <row r="98" spans="1:1" s="221" customFormat="1" ht="12.5" x14ac:dyDescent="0.25">
      <c r="A98" s="232"/>
    </row>
    <row r="99" spans="1:1" s="221" customFormat="1" ht="12.5" x14ac:dyDescent="0.25">
      <c r="A99" s="232"/>
    </row>
    <row r="100" spans="1:1" s="221" customFormat="1" ht="12.5" x14ac:dyDescent="0.25">
      <c r="A100" s="232"/>
    </row>
    <row r="101" spans="1:1" s="221" customFormat="1" ht="12.5" x14ac:dyDescent="0.25">
      <c r="A101" s="232"/>
    </row>
    <row r="102" spans="1:1" s="221" customFormat="1" ht="12.5" x14ac:dyDescent="0.25">
      <c r="A102" s="232"/>
    </row>
    <row r="103" spans="1:1" s="221" customFormat="1" ht="12.5" x14ac:dyDescent="0.25">
      <c r="A103" s="232"/>
    </row>
    <row r="104" spans="1:1" s="221" customFormat="1" ht="12.5" x14ac:dyDescent="0.25">
      <c r="A104" s="232"/>
    </row>
    <row r="105" spans="1:1" ht="12.5" x14ac:dyDescent="0.25"/>
    <row r="106" spans="1:1" ht="12.5" x14ac:dyDescent="0.25"/>
  </sheetData>
  <sheetProtection algorithmName="SHA-512" hashValue="EBYL/TkILoyBhS7VukBpjZ6uipZTj4hImBke/HqTIIXXcSMJxmRQidnc6UuOj4XS/CP7Cf83BR/y/uWwibV61Q==" saltValue="NezX+p79sF5zsev6EVOOKg==" spinCount="100000" sheet="1" objects="1" scenarios="1"/>
  <mergeCells count="16">
    <mergeCell ref="B96:D96"/>
    <mergeCell ref="B94:D94"/>
    <mergeCell ref="B26:D26"/>
    <mergeCell ref="A1:D1"/>
    <mergeCell ref="C2:D2"/>
    <mergeCell ref="B19:B20"/>
    <mergeCell ref="B23:D23"/>
    <mergeCell ref="B25:D25"/>
    <mergeCell ref="B74:D74"/>
    <mergeCell ref="B76:D76"/>
    <mergeCell ref="B47:D47"/>
    <mergeCell ref="B48:D48"/>
    <mergeCell ref="B49:D49"/>
    <mergeCell ref="B50:D50"/>
    <mergeCell ref="B52:D52"/>
    <mergeCell ref="D66:D68"/>
  </mergeCells>
  <dataValidations count="1">
    <dataValidation type="textLength" operator="lessThanOrEqual" allowBlank="1" showInputMessage="1" showErrorMessage="1" sqref="D20" xr:uid="{F887B227-4012-C649-B3A2-0E7C66696ECC}">
      <formula1>3</formula1>
    </dataValidation>
  </dataValidations>
  <hyperlinks>
    <hyperlink ref="D45" r:id="rId1" display="admissions@awesome.edu" xr:uid="{F5C9F152-E5B7-6649-BD06-C80F63A7C239}"/>
    <hyperlink ref="B23" r:id="rId2" display="www.sample.edu/cds" xr:uid="{B1AD00D3-D0ED-554A-9D4D-9748A9A8D53D}"/>
  </hyperlinks>
  <pageMargins left="0.75" right="0.75" top="1" bottom="1" header="0.5" footer="0.5"/>
  <pageSetup scale="75" fitToHeight="2" orientation="portrait" r:id="rId3"/>
  <headerFooter alignWithMargins="0">
    <oddHeader>&amp;LCommon Data Set 2021-2022</oddHeader>
    <oddFooter>&amp;LCDS-A&amp;RPage &amp;P</oddFooter>
  </headerFooter>
  <ignoredErrors>
    <ignoredError sqref="B69" twoDigitTextYear="1"/>
  </ignoredErrors>
  <drawing r:id="rId4"/>
  <legacyDrawing r:id="rId5"/>
  <mc:AlternateContent xmlns:mc="http://schemas.openxmlformats.org/markup-compatibility/2006">
    <mc:Choice Requires="x14">
      <controls>
        <mc:AlternateContent xmlns:mc="http://schemas.openxmlformats.org/markup-compatibility/2006">
          <mc:Choice Requires="x14">
            <control shapeId="13313" r:id="rId6" name="Option Button 1">
              <controlPr locked="0" defaultSize="0" autoFill="0" autoLine="0" autoPict="0">
                <anchor moveWithCells="1">
                  <from>
                    <xdr:col>0</xdr:col>
                    <xdr:colOff>25400</xdr:colOff>
                    <xdr:row>53</xdr:row>
                    <xdr:rowOff>12700</xdr:rowOff>
                  </from>
                  <to>
                    <xdr:col>0</xdr:col>
                    <xdr:colOff>266700</xdr:colOff>
                    <xdr:row>54</xdr:row>
                    <xdr:rowOff>38100</xdr:rowOff>
                  </to>
                </anchor>
              </controlPr>
            </control>
          </mc:Choice>
        </mc:AlternateContent>
        <mc:AlternateContent xmlns:mc="http://schemas.openxmlformats.org/markup-compatibility/2006">
          <mc:Choice Requires="x14">
            <control shapeId="13314" r:id="rId7" name="Option Button 2">
              <controlPr locked="0" defaultSize="0" autoFill="0" autoLine="0" autoPict="0">
                <anchor moveWithCells="1">
                  <from>
                    <xdr:col>0</xdr:col>
                    <xdr:colOff>19050</xdr:colOff>
                    <xdr:row>54</xdr:row>
                    <xdr:rowOff>0</xdr:rowOff>
                  </from>
                  <to>
                    <xdr:col>0</xdr:col>
                    <xdr:colOff>260350</xdr:colOff>
                    <xdr:row>55</xdr:row>
                    <xdr:rowOff>44450</xdr:rowOff>
                  </to>
                </anchor>
              </controlPr>
            </control>
          </mc:Choice>
        </mc:AlternateContent>
        <mc:AlternateContent xmlns:mc="http://schemas.openxmlformats.org/markup-compatibility/2006">
          <mc:Choice Requires="x14">
            <control shapeId="13315" r:id="rId8" name="Option Button 3">
              <controlPr locked="0" defaultSize="0" autoFill="0" autoLine="0" autoPict="0">
                <anchor moveWithCells="1">
                  <from>
                    <xdr:col>0</xdr:col>
                    <xdr:colOff>31750</xdr:colOff>
                    <xdr:row>54</xdr:row>
                    <xdr:rowOff>177800</xdr:rowOff>
                  </from>
                  <to>
                    <xdr:col>0</xdr:col>
                    <xdr:colOff>266700</xdr:colOff>
                    <xdr:row>56</xdr:row>
                    <xdr:rowOff>19050</xdr:rowOff>
                  </to>
                </anchor>
              </controlPr>
            </control>
          </mc:Choice>
        </mc:AlternateContent>
        <mc:AlternateContent xmlns:mc="http://schemas.openxmlformats.org/markup-compatibility/2006">
          <mc:Choice Requires="x14">
            <control shapeId="13321" r:id="rId9" name="Check Box 9">
              <controlPr defaultSize="0" autoFill="0" autoLine="0" autoPict="0">
                <anchor moveWithCells="1" sizeWithCells="1">
                  <from>
                    <xdr:col>0</xdr:col>
                    <xdr:colOff>12700</xdr:colOff>
                    <xdr:row>78</xdr:row>
                    <xdr:rowOff>12700</xdr:rowOff>
                  </from>
                  <to>
                    <xdr:col>0</xdr:col>
                    <xdr:colOff>304800</xdr:colOff>
                    <xdr:row>79</xdr:row>
                    <xdr:rowOff>0</xdr:rowOff>
                  </to>
                </anchor>
              </controlPr>
            </control>
          </mc:Choice>
        </mc:AlternateContent>
        <mc:AlternateContent xmlns:mc="http://schemas.openxmlformats.org/markup-compatibility/2006">
          <mc:Choice Requires="x14">
            <control shapeId="13322" r:id="rId10" name="Check Box 10">
              <controlPr defaultSize="0" autoFill="0" autoLine="0" autoPict="0" altText="_x000a_">
                <anchor moveWithCells="1" sizeWithCells="1">
                  <from>
                    <xdr:col>0</xdr:col>
                    <xdr:colOff>12700</xdr:colOff>
                    <xdr:row>82</xdr:row>
                    <xdr:rowOff>0</xdr:rowOff>
                  </from>
                  <to>
                    <xdr:col>0</xdr:col>
                    <xdr:colOff>304800</xdr:colOff>
                    <xdr:row>83</xdr:row>
                    <xdr:rowOff>0</xdr:rowOff>
                  </to>
                </anchor>
              </controlPr>
            </control>
          </mc:Choice>
        </mc:AlternateContent>
        <mc:AlternateContent xmlns:mc="http://schemas.openxmlformats.org/markup-compatibility/2006">
          <mc:Choice Requires="x14">
            <control shapeId="13323" r:id="rId11" name="Check Box 11">
              <controlPr defaultSize="0" autoFill="0" autoLine="0" autoPict="0">
                <anchor moveWithCells="1" sizeWithCells="1">
                  <from>
                    <xdr:col>0</xdr:col>
                    <xdr:colOff>12700</xdr:colOff>
                    <xdr:row>83</xdr:row>
                    <xdr:rowOff>0</xdr:rowOff>
                  </from>
                  <to>
                    <xdr:col>1</xdr:col>
                    <xdr:colOff>12700</xdr:colOff>
                    <xdr:row>84</xdr:row>
                    <xdr:rowOff>0</xdr:rowOff>
                  </to>
                </anchor>
              </controlPr>
            </control>
          </mc:Choice>
        </mc:AlternateContent>
        <mc:AlternateContent xmlns:mc="http://schemas.openxmlformats.org/markup-compatibility/2006">
          <mc:Choice Requires="x14">
            <control shapeId="13324" r:id="rId12" name="Check Box 12">
              <controlPr defaultSize="0" autoFill="0" autoLine="0" autoPict="0">
                <anchor moveWithCells="1" sizeWithCells="1">
                  <from>
                    <xdr:col>0</xdr:col>
                    <xdr:colOff>12700</xdr:colOff>
                    <xdr:row>84</xdr:row>
                    <xdr:rowOff>12700</xdr:rowOff>
                  </from>
                  <to>
                    <xdr:col>0</xdr:col>
                    <xdr:colOff>317500</xdr:colOff>
                    <xdr:row>84</xdr:row>
                    <xdr:rowOff>190500</xdr:rowOff>
                  </to>
                </anchor>
              </controlPr>
            </control>
          </mc:Choice>
        </mc:AlternateContent>
        <mc:AlternateContent xmlns:mc="http://schemas.openxmlformats.org/markup-compatibility/2006">
          <mc:Choice Requires="x14">
            <control shapeId="13325" r:id="rId13" name="Check Box 13">
              <controlPr defaultSize="0" autoFill="0" autoLine="0" autoPict="0">
                <anchor moveWithCells="1" sizeWithCells="1">
                  <from>
                    <xdr:col>0</xdr:col>
                    <xdr:colOff>12700</xdr:colOff>
                    <xdr:row>85</xdr:row>
                    <xdr:rowOff>0</xdr:rowOff>
                  </from>
                  <to>
                    <xdr:col>0</xdr:col>
                    <xdr:colOff>304800</xdr:colOff>
                    <xdr:row>85</xdr:row>
                    <xdr:rowOff>203200</xdr:rowOff>
                  </to>
                </anchor>
              </controlPr>
            </control>
          </mc:Choice>
        </mc:AlternateContent>
        <mc:AlternateContent xmlns:mc="http://schemas.openxmlformats.org/markup-compatibility/2006">
          <mc:Choice Requires="x14">
            <control shapeId="13326" r:id="rId14" name="Check Box 14">
              <controlPr defaultSize="0" autoFill="0" autoLine="0" autoPict="0">
                <anchor moveWithCells="1" sizeWithCells="1">
                  <from>
                    <xdr:col>0</xdr:col>
                    <xdr:colOff>12700</xdr:colOff>
                    <xdr:row>85</xdr:row>
                    <xdr:rowOff>203200</xdr:rowOff>
                  </from>
                  <to>
                    <xdr:col>0</xdr:col>
                    <xdr:colOff>304800</xdr:colOff>
                    <xdr:row>87</xdr:row>
                    <xdr:rowOff>0</xdr:rowOff>
                  </to>
                </anchor>
              </controlPr>
            </control>
          </mc:Choice>
        </mc:AlternateContent>
        <mc:AlternateContent xmlns:mc="http://schemas.openxmlformats.org/markup-compatibility/2006">
          <mc:Choice Requires="x14">
            <control shapeId="13327" r:id="rId15" name="Check Box 15">
              <controlPr defaultSize="0" autoFill="0" autoLine="0" autoPict="0">
                <anchor moveWithCells="1" sizeWithCells="1">
                  <from>
                    <xdr:col>0</xdr:col>
                    <xdr:colOff>12700</xdr:colOff>
                    <xdr:row>87</xdr:row>
                    <xdr:rowOff>0</xdr:rowOff>
                  </from>
                  <to>
                    <xdr:col>0</xdr:col>
                    <xdr:colOff>317500</xdr:colOff>
                    <xdr:row>88</xdr:row>
                    <xdr:rowOff>0</xdr:rowOff>
                  </to>
                </anchor>
              </controlPr>
            </control>
          </mc:Choice>
        </mc:AlternateContent>
        <mc:AlternateContent xmlns:mc="http://schemas.openxmlformats.org/markup-compatibility/2006">
          <mc:Choice Requires="x14">
            <control shapeId="13328" r:id="rId16" name="Check Box 16">
              <controlPr defaultSize="0" autoFill="0" autoLine="0" autoPict="0">
                <anchor moveWithCells="1" sizeWithCells="1">
                  <from>
                    <xdr:col>0</xdr:col>
                    <xdr:colOff>12700</xdr:colOff>
                    <xdr:row>88</xdr:row>
                    <xdr:rowOff>12700</xdr:rowOff>
                  </from>
                  <to>
                    <xdr:col>0</xdr:col>
                    <xdr:colOff>304800</xdr:colOff>
                    <xdr:row>89</xdr:row>
                    <xdr:rowOff>0</xdr:rowOff>
                  </to>
                </anchor>
              </controlPr>
            </control>
          </mc:Choice>
        </mc:AlternateContent>
        <mc:AlternateContent xmlns:mc="http://schemas.openxmlformats.org/markup-compatibility/2006">
          <mc:Choice Requires="x14">
            <control shapeId="13329" r:id="rId17" name="Check Box 17">
              <controlPr defaultSize="0" autoFill="0" autoLine="0" autoPict="0">
                <anchor moveWithCells="1" sizeWithCells="1">
                  <from>
                    <xdr:col>0</xdr:col>
                    <xdr:colOff>12700</xdr:colOff>
                    <xdr:row>89</xdr:row>
                    <xdr:rowOff>12700</xdr:rowOff>
                  </from>
                  <to>
                    <xdr:col>0</xdr:col>
                    <xdr:colOff>304800</xdr:colOff>
                    <xdr:row>90</xdr:row>
                    <xdr:rowOff>0</xdr:rowOff>
                  </to>
                </anchor>
              </controlPr>
            </control>
          </mc:Choice>
        </mc:AlternateContent>
        <mc:AlternateContent xmlns:mc="http://schemas.openxmlformats.org/markup-compatibility/2006">
          <mc:Choice Requires="x14">
            <control shapeId="13330" r:id="rId18" name="Check Box 18">
              <controlPr defaultSize="0" autoFill="0" autoLine="0" autoPict="0">
                <anchor moveWithCells="1" sizeWithCells="1">
                  <from>
                    <xdr:col>0</xdr:col>
                    <xdr:colOff>12700</xdr:colOff>
                    <xdr:row>79</xdr:row>
                    <xdr:rowOff>12700</xdr:rowOff>
                  </from>
                  <to>
                    <xdr:col>0</xdr:col>
                    <xdr:colOff>317500</xdr:colOff>
                    <xdr:row>80</xdr:row>
                    <xdr:rowOff>0</xdr:rowOff>
                  </to>
                </anchor>
              </controlPr>
            </control>
          </mc:Choice>
        </mc:AlternateContent>
        <mc:AlternateContent xmlns:mc="http://schemas.openxmlformats.org/markup-compatibility/2006">
          <mc:Choice Requires="x14">
            <control shapeId="13331" r:id="rId19" name="Check Box 19">
              <controlPr defaultSize="0" autoFill="0" autoLine="0" autoPict="0">
                <anchor moveWithCells="1" sizeWithCells="1">
                  <from>
                    <xdr:col>0</xdr:col>
                    <xdr:colOff>12700</xdr:colOff>
                    <xdr:row>80</xdr:row>
                    <xdr:rowOff>0</xdr:rowOff>
                  </from>
                  <to>
                    <xdr:col>0</xdr:col>
                    <xdr:colOff>317500</xdr:colOff>
                    <xdr:row>80</xdr:row>
                    <xdr:rowOff>190500</xdr:rowOff>
                  </to>
                </anchor>
              </controlPr>
            </control>
          </mc:Choice>
        </mc:AlternateContent>
        <mc:AlternateContent xmlns:mc="http://schemas.openxmlformats.org/markup-compatibility/2006">
          <mc:Choice Requires="x14">
            <control shapeId="13332" r:id="rId20" name="Check Box 20">
              <controlPr defaultSize="0" autoFill="0" autoLine="0" autoPict="0">
                <anchor moveWithCells="1" sizeWithCells="1">
                  <from>
                    <xdr:col>0</xdr:col>
                    <xdr:colOff>12700</xdr:colOff>
                    <xdr:row>81</xdr:row>
                    <xdr:rowOff>0</xdr:rowOff>
                  </from>
                  <to>
                    <xdr:col>0</xdr:col>
                    <xdr:colOff>304800</xdr:colOff>
                    <xdr:row>82</xdr:row>
                    <xdr:rowOff>0</xdr:rowOff>
                  </to>
                </anchor>
              </controlPr>
            </control>
          </mc:Choice>
        </mc:AlternateContent>
        <mc:AlternateContent xmlns:mc="http://schemas.openxmlformats.org/markup-compatibility/2006">
          <mc:Choice Requires="x14">
            <control shapeId="13345" r:id="rId21" name="Group Box 33">
              <controlPr defaultSize="0" autoFill="0" autoPict="0">
                <anchor moveWithCells="1">
                  <from>
                    <xdr:col>0</xdr:col>
                    <xdr:colOff>12700</xdr:colOff>
                    <xdr:row>58</xdr:row>
                    <xdr:rowOff>114300</xdr:rowOff>
                  </from>
                  <to>
                    <xdr:col>1</xdr:col>
                    <xdr:colOff>88900</xdr:colOff>
                    <xdr:row>62</xdr:row>
                    <xdr:rowOff>63500</xdr:rowOff>
                  </to>
                </anchor>
              </controlPr>
            </control>
          </mc:Choice>
        </mc:AlternateContent>
        <mc:AlternateContent xmlns:mc="http://schemas.openxmlformats.org/markup-compatibility/2006">
          <mc:Choice Requires="x14">
            <control shapeId="13346" r:id="rId22" name="Option Button 34">
              <controlPr defaultSize="0" autoFill="0" autoLine="0" autoPict="0">
                <anchor moveWithCells="1">
                  <from>
                    <xdr:col>0</xdr:col>
                    <xdr:colOff>50800</xdr:colOff>
                    <xdr:row>59</xdr:row>
                    <xdr:rowOff>25400</xdr:rowOff>
                  </from>
                  <to>
                    <xdr:col>1</xdr:col>
                    <xdr:colOff>0</xdr:colOff>
                    <xdr:row>60</xdr:row>
                    <xdr:rowOff>0</xdr:rowOff>
                  </to>
                </anchor>
              </controlPr>
            </control>
          </mc:Choice>
        </mc:AlternateContent>
        <mc:AlternateContent xmlns:mc="http://schemas.openxmlformats.org/markup-compatibility/2006">
          <mc:Choice Requires="x14">
            <control shapeId="13347" r:id="rId23" name="Option Button 35">
              <controlPr defaultSize="0" autoFill="0" autoLine="0" autoPict="0">
                <anchor moveWithCells="1">
                  <from>
                    <xdr:col>0</xdr:col>
                    <xdr:colOff>50800</xdr:colOff>
                    <xdr:row>60</xdr:row>
                    <xdr:rowOff>0</xdr:rowOff>
                  </from>
                  <to>
                    <xdr:col>1</xdr:col>
                    <xdr:colOff>12700</xdr:colOff>
                    <xdr:row>61</xdr:row>
                    <xdr:rowOff>0</xdr:rowOff>
                  </to>
                </anchor>
              </controlPr>
            </control>
          </mc:Choice>
        </mc:AlternateContent>
        <mc:AlternateContent xmlns:mc="http://schemas.openxmlformats.org/markup-compatibility/2006">
          <mc:Choice Requires="x14">
            <control shapeId="13348" r:id="rId24" name="Option Button 36">
              <controlPr defaultSize="0" autoFill="0" autoLine="0" autoPict="0">
                <anchor moveWithCells="1">
                  <from>
                    <xdr:col>0</xdr:col>
                    <xdr:colOff>50800</xdr:colOff>
                    <xdr:row>60</xdr:row>
                    <xdr:rowOff>215900</xdr:rowOff>
                  </from>
                  <to>
                    <xdr:col>0</xdr:col>
                    <xdr:colOff>304800</xdr:colOff>
                    <xdr:row>62</xdr:row>
                    <xdr:rowOff>0</xdr:rowOff>
                  </to>
                </anchor>
              </controlPr>
            </control>
          </mc:Choice>
        </mc:AlternateContent>
        <mc:AlternateContent xmlns:mc="http://schemas.openxmlformats.org/markup-compatibility/2006">
          <mc:Choice Requires="x14">
            <control shapeId="13349" r:id="rId25" name="Group Box 37">
              <controlPr defaultSize="0" autoFill="0" autoPict="0">
                <anchor moveWithCells="1">
                  <from>
                    <xdr:col>0</xdr:col>
                    <xdr:colOff>0</xdr:colOff>
                    <xdr:row>64</xdr:row>
                    <xdr:rowOff>88900</xdr:rowOff>
                  </from>
                  <to>
                    <xdr:col>1</xdr:col>
                    <xdr:colOff>88900</xdr:colOff>
                    <xdr:row>72</xdr:row>
                    <xdr:rowOff>63500</xdr:rowOff>
                  </to>
                </anchor>
              </controlPr>
            </control>
          </mc:Choice>
        </mc:AlternateContent>
        <mc:AlternateContent xmlns:mc="http://schemas.openxmlformats.org/markup-compatibility/2006">
          <mc:Choice Requires="x14">
            <control shapeId="13350" r:id="rId26" name="Option Button 38">
              <controlPr defaultSize="0" autoFill="0" autoLine="0" autoPict="0">
                <anchor moveWithCells="1">
                  <from>
                    <xdr:col>0</xdr:col>
                    <xdr:colOff>63500</xdr:colOff>
                    <xdr:row>65</xdr:row>
                    <xdr:rowOff>0</xdr:rowOff>
                  </from>
                  <to>
                    <xdr:col>1</xdr:col>
                    <xdr:colOff>0</xdr:colOff>
                    <xdr:row>66</xdr:row>
                    <xdr:rowOff>0</xdr:rowOff>
                  </to>
                </anchor>
              </controlPr>
            </control>
          </mc:Choice>
        </mc:AlternateContent>
        <mc:AlternateContent xmlns:mc="http://schemas.openxmlformats.org/markup-compatibility/2006">
          <mc:Choice Requires="x14">
            <control shapeId="13351" r:id="rId27" name="Option Button 39">
              <controlPr defaultSize="0" autoFill="0" autoLine="0" autoPict="0">
                <anchor moveWithCells="1">
                  <from>
                    <xdr:col>0</xdr:col>
                    <xdr:colOff>63500</xdr:colOff>
                    <xdr:row>65</xdr:row>
                    <xdr:rowOff>190500</xdr:rowOff>
                  </from>
                  <to>
                    <xdr:col>0</xdr:col>
                    <xdr:colOff>317500</xdr:colOff>
                    <xdr:row>67</xdr:row>
                    <xdr:rowOff>12700</xdr:rowOff>
                  </to>
                </anchor>
              </controlPr>
            </control>
          </mc:Choice>
        </mc:AlternateContent>
        <mc:AlternateContent xmlns:mc="http://schemas.openxmlformats.org/markup-compatibility/2006">
          <mc:Choice Requires="x14">
            <control shapeId="13352" r:id="rId28" name="Option Button 40">
              <controlPr defaultSize="0" autoFill="0" autoLine="0" autoPict="0">
                <anchor moveWithCells="1">
                  <from>
                    <xdr:col>0</xdr:col>
                    <xdr:colOff>63500</xdr:colOff>
                    <xdr:row>67</xdr:row>
                    <xdr:rowOff>0</xdr:rowOff>
                  </from>
                  <to>
                    <xdr:col>1</xdr:col>
                    <xdr:colOff>12700</xdr:colOff>
                    <xdr:row>68</xdr:row>
                    <xdr:rowOff>0</xdr:rowOff>
                  </to>
                </anchor>
              </controlPr>
            </control>
          </mc:Choice>
        </mc:AlternateContent>
        <mc:AlternateContent xmlns:mc="http://schemas.openxmlformats.org/markup-compatibility/2006">
          <mc:Choice Requires="x14">
            <control shapeId="13353" r:id="rId29" name="Option Button 41">
              <controlPr defaultSize="0" autoFill="0" autoLine="0" autoPict="0">
                <anchor moveWithCells="1">
                  <from>
                    <xdr:col>0</xdr:col>
                    <xdr:colOff>76200</xdr:colOff>
                    <xdr:row>68</xdr:row>
                    <xdr:rowOff>0</xdr:rowOff>
                  </from>
                  <to>
                    <xdr:col>1</xdr:col>
                    <xdr:colOff>25400</xdr:colOff>
                    <xdr:row>69</xdr:row>
                    <xdr:rowOff>0</xdr:rowOff>
                  </to>
                </anchor>
              </controlPr>
            </control>
          </mc:Choice>
        </mc:AlternateContent>
        <mc:AlternateContent xmlns:mc="http://schemas.openxmlformats.org/markup-compatibility/2006">
          <mc:Choice Requires="x14">
            <control shapeId="13354" r:id="rId30" name="Option Button 42">
              <controlPr defaultSize="0" autoFill="0" autoLine="0" autoPict="0">
                <anchor moveWithCells="1">
                  <from>
                    <xdr:col>0</xdr:col>
                    <xdr:colOff>63500</xdr:colOff>
                    <xdr:row>68</xdr:row>
                    <xdr:rowOff>190500</xdr:rowOff>
                  </from>
                  <to>
                    <xdr:col>1</xdr:col>
                    <xdr:colOff>12700</xdr:colOff>
                    <xdr:row>70</xdr:row>
                    <xdr:rowOff>0</xdr:rowOff>
                  </to>
                </anchor>
              </controlPr>
            </control>
          </mc:Choice>
        </mc:AlternateContent>
        <mc:AlternateContent xmlns:mc="http://schemas.openxmlformats.org/markup-compatibility/2006">
          <mc:Choice Requires="x14">
            <control shapeId="13355" r:id="rId31" name="Option Button 43">
              <controlPr defaultSize="0" autoFill="0" autoLine="0" autoPict="0">
                <anchor moveWithCells="1">
                  <from>
                    <xdr:col>0</xdr:col>
                    <xdr:colOff>63500</xdr:colOff>
                    <xdr:row>70</xdr:row>
                    <xdr:rowOff>0</xdr:rowOff>
                  </from>
                  <to>
                    <xdr:col>1</xdr:col>
                    <xdr:colOff>0</xdr:colOff>
                    <xdr:row>71</xdr:row>
                    <xdr:rowOff>0</xdr:rowOff>
                  </to>
                </anchor>
              </controlPr>
            </control>
          </mc:Choice>
        </mc:AlternateContent>
        <mc:AlternateContent xmlns:mc="http://schemas.openxmlformats.org/markup-compatibility/2006">
          <mc:Choice Requires="x14">
            <control shapeId="13356" r:id="rId32" name="Option Button 44">
              <controlPr defaultSize="0" autoFill="0" autoLine="0" autoPict="0">
                <anchor moveWithCells="1">
                  <from>
                    <xdr:col>0</xdr:col>
                    <xdr:colOff>63500</xdr:colOff>
                    <xdr:row>71</xdr:row>
                    <xdr:rowOff>76200</xdr:rowOff>
                  </from>
                  <to>
                    <xdr:col>1</xdr:col>
                    <xdr:colOff>12700</xdr:colOff>
                    <xdr:row>71</xdr:row>
                    <xdr:rowOff>330200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0AF66-C6E1-094E-AD5C-DA9AFCE13CD0}">
  <dimension ref="A1:I161"/>
  <sheetViews>
    <sheetView showGridLines="0" showRowColHeaders="0" showRuler="0" topLeftCell="A40" zoomScale="120" zoomScaleNormal="120" zoomScalePageLayoutView="130" workbookViewId="0">
      <selection activeCell="E51" sqref="E51"/>
    </sheetView>
  </sheetViews>
  <sheetFormatPr defaultColWidth="5.83203125" defaultRowHeight="0" customHeight="1" zeroHeight="1" x14ac:dyDescent="0.25"/>
  <cols>
    <col min="1" max="1" width="4.33203125" style="2" customWidth="1"/>
    <col min="2" max="2" width="27.6640625" style="1" customWidth="1"/>
    <col min="3" max="3" width="14.1640625" style="1" customWidth="1"/>
    <col min="4" max="4" width="14.6640625" style="1" customWidth="1"/>
    <col min="5" max="5" width="14.83203125" style="1" customWidth="1"/>
    <col min="6" max="6" width="15.33203125" style="1" customWidth="1"/>
    <col min="7" max="7" width="14.5" style="1" customWidth="1"/>
    <col min="8" max="8" width="15.6640625" style="1" customWidth="1"/>
    <col min="9" max="16384" width="5.83203125" style="1"/>
  </cols>
  <sheetData>
    <row r="1" spans="1:8" ht="18" x14ac:dyDescent="0.25">
      <c r="A1" s="548" t="s">
        <v>378</v>
      </c>
      <c r="B1" s="548"/>
      <c r="C1" s="548"/>
      <c r="D1" s="548"/>
      <c r="E1" s="548"/>
      <c r="F1" s="548"/>
      <c r="G1" s="165"/>
      <c r="H1" s="165"/>
    </row>
    <row r="2" spans="1:8" ht="12.5" x14ac:dyDescent="0.25"/>
    <row r="3" spans="1:8" ht="14.25" customHeight="1" x14ac:dyDescent="0.25">
      <c r="A3" s="3" t="s">
        <v>377</v>
      </c>
      <c r="B3" s="559" t="s">
        <v>376</v>
      </c>
      <c r="C3" s="551"/>
      <c r="D3" s="551"/>
      <c r="E3" s="551"/>
      <c r="F3" s="551"/>
      <c r="G3" s="40"/>
    </row>
    <row r="4" spans="1:8" ht="26.25" customHeight="1" x14ac:dyDescent="0.25">
      <c r="A4" s="3"/>
      <c r="B4" s="551" t="s">
        <v>1854</v>
      </c>
      <c r="C4" s="551"/>
      <c r="D4" s="551"/>
      <c r="E4" s="551"/>
      <c r="F4" s="551"/>
      <c r="G4" s="40"/>
    </row>
    <row r="5" spans="1:8" ht="28.5" customHeight="1" x14ac:dyDescent="0.25">
      <c r="A5" s="3"/>
      <c r="B5" s="594" t="s">
        <v>375</v>
      </c>
      <c r="C5" s="594"/>
      <c r="D5" s="594"/>
      <c r="E5" s="594"/>
      <c r="F5" s="594"/>
      <c r="G5" s="192"/>
    </row>
    <row r="6" spans="1:8" ht="13" x14ac:dyDescent="0.25">
      <c r="A6" s="3"/>
      <c r="B6" s="595"/>
      <c r="C6" s="597" t="s">
        <v>374</v>
      </c>
      <c r="D6" s="598"/>
      <c r="E6" s="599"/>
      <c r="F6" s="597" t="s">
        <v>373</v>
      </c>
      <c r="G6" s="598"/>
      <c r="H6" s="599"/>
    </row>
    <row r="7" spans="1:8" ht="13" x14ac:dyDescent="0.25">
      <c r="A7" s="3"/>
      <c r="B7" s="596"/>
      <c r="C7" s="119" t="s">
        <v>372</v>
      </c>
      <c r="D7" s="204" t="s">
        <v>371</v>
      </c>
      <c r="E7" s="209" t="s">
        <v>1278</v>
      </c>
      <c r="F7" s="119" t="s">
        <v>372</v>
      </c>
      <c r="G7" s="204" t="s">
        <v>371</v>
      </c>
      <c r="H7" s="118" t="s">
        <v>1278</v>
      </c>
    </row>
    <row r="8" spans="1:8" ht="13" x14ac:dyDescent="0.25">
      <c r="A8" s="3"/>
      <c r="B8" s="114" t="s">
        <v>370</v>
      </c>
      <c r="C8" s="117"/>
      <c r="D8" s="117"/>
      <c r="E8" s="117"/>
      <c r="F8" s="117"/>
      <c r="G8" s="117"/>
      <c r="H8" s="116"/>
    </row>
    <row r="9" spans="1:8" ht="25" x14ac:dyDescent="0.25">
      <c r="A9" s="3"/>
      <c r="B9" s="110" t="s">
        <v>1511</v>
      </c>
      <c r="C9" s="281">
        <v>87</v>
      </c>
      <c r="D9" s="282">
        <v>83</v>
      </c>
      <c r="E9" s="282">
        <v>3</v>
      </c>
      <c r="F9" s="282">
        <v>0</v>
      </c>
      <c r="G9" s="282">
        <v>0</v>
      </c>
      <c r="H9" s="282">
        <v>0</v>
      </c>
    </row>
    <row r="10" spans="1:8" ht="13" x14ac:dyDescent="0.25">
      <c r="A10" s="3"/>
      <c r="B10" s="111" t="s">
        <v>369</v>
      </c>
      <c r="C10" s="282">
        <v>0</v>
      </c>
      <c r="D10" s="282">
        <v>0</v>
      </c>
      <c r="E10" s="282">
        <v>0</v>
      </c>
      <c r="F10" s="282">
        <v>0</v>
      </c>
      <c r="G10" s="282">
        <v>0</v>
      </c>
      <c r="H10" s="282">
        <v>0</v>
      </c>
    </row>
    <row r="11" spans="1:8" ht="13" x14ac:dyDescent="0.25">
      <c r="A11" s="3"/>
      <c r="B11" s="111" t="s">
        <v>363</v>
      </c>
      <c r="C11" s="282">
        <v>184</v>
      </c>
      <c r="D11" s="282">
        <v>210</v>
      </c>
      <c r="E11" s="282">
        <v>20</v>
      </c>
      <c r="F11" s="282">
        <v>2</v>
      </c>
      <c r="G11" s="282">
        <v>0</v>
      </c>
      <c r="H11" s="282">
        <v>0</v>
      </c>
    </row>
    <row r="12" spans="1:8" ht="13" x14ac:dyDescent="0.3">
      <c r="A12" s="3"/>
      <c r="B12" s="108" t="s">
        <v>368</v>
      </c>
      <c r="C12" s="115">
        <f t="shared" ref="C12:H12" si="0">SUM(C9:C11)</f>
        <v>271</v>
      </c>
      <c r="D12" s="115">
        <f t="shared" si="0"/>
        <v>293</v>
      </c>
      <c r="E12" s="115">
        <f t="shared" si="0"/>
        <v>23</v>
      </c>
      <c r="F12" s="115">
        <f t="shared" si="0"/>
        <v>2</v>
      </c>
      <c r="G12" s="115">
        <f t="shared" si="0"/>
        <v>0</v>
      </c>
      <c r="H12" s="115">
        <f t="shared" si="0"/>
        <v>0</v>
      </c>
    </row>
    <row r="13" spans="1:8" ht="25" x14ac:dyDescent="0.25">
      <c r="A13" s="3"/>
      <c r="B13" s="110" t="s">
        <v>367</v>
      </c>
      <c r="C13" s="282">
        <v>9</v>
      </c>
      <c r="D13" s="282">
        <v>13</v>
      </c>
      <c r="E13" s="282">
        <v>0</v>
      </c>
      <c r="F13" s="282">
        <v>0</v>
      </c>
      <c r="G13" s="282">
        <v>1</v>
      </c>
      <c r="H13" s="282">
        <v>0</v>
      </c>
    </row>
    <row r="14" spans="1:8" ht="13" x14ac:dyDescent="0.3">
      <c r="A14" s="3"/>
      <c r="B14" s="108" t="s">
        <v>366</v>
      </c>
      <c r="C14" s="115">
        <f t="shared" ref="C14:H14" si="1">SUM(C12:C13)</f>
        <v>280</v>
      </c>
      <c r="D14" s="115">
        <f t="shared" si="1"/>
        <v>306</v>
      </c>
      <c r="E14" s="115">
        <f t="shared" si="1"/>
        <v>23</v>
      </c>
      <c r="F14" s="115">
        <f t="shared" si="1"/>
        <v>2</v>
      </c>
      <c r="G14" s="115">
        <f t="shared" si="1"/>
        <v>1</v>
      </c>
      <c r="H14" s="115">
        <f t="shared" si="1"/>
        <v>0</v>
      </c>
    </row>
    <row r="15" spans="1:8" ht="13" x14ac:dyDescent="0.3">
      <c r="A15" s="3"/>
      <c r="B15" s="114" t="s">
        <v>365</v>
      </c>
      <c r="C15" s="113"/>
      <c r="D15" s="113"/>
      <c r="E15" s="113"/>
      <c r="F15" s="113"/>
      <c r="G15" s="113"/>
      <c r="H15" s="112"/>
    </row>
    <row r="16" spans="1:8" ht="13" x14ac:dyDescent="0.25">
      <c r="A16" s="3"/>
      <c r="B16" s="111" t="s">
        <v>364</v>
      </c>
      <c r="C16" s="283">
        <v>9</v>
      </c>
      <c r="D16" s="283">
        <v>8</v>
      </c>
      <c r="E16" s="283">
        <v>0</v>
      </c>
      <c r="F16" s="283">
        <v>4</v>
      </c>
      <c r="G16" s="283">
        <v>1</v>
      </c>
      <c r="H16" s="283">
        <v>0</v>
      </c>
    </row>
    <row r="17" spans="1:8" ht="13" x14ac:dyDescent="0.25">
      <c r="A17" s="3"/>
      <c r="B17" s="111" t="s">
        <v>363</v>
      </c>
      <c r="C17" s="283">
        <v>4</v>
      </c>
      <c r="D17" s="283">
        <v>8</v>
      </c>
      <c r="E17" s="283">
        <v>0</v>
      </c>
      <c r="F17" s="283">
        <v>6</v>
      </c>
      <c r="G17" s="283">
        <v>16</v>
      </c>
      <c r="H17" s="283">
        <v>0</v>
      </c>
    </row>
    <row r="18" spans="1:8" ht="25" x14ac:dyDescent="0.25">
      <c r="A18" s="3"/>
      <c r="B18" s="110" t="s">
        <v>362</v>
      </c>
      <c r="C18" s="283">
        <v>0</v>
      </c>
      <c r="D18" s="283">
        <v>0</v>
      </c>
      <c r="E18" s="283">
        <v>0</v>
      </c>
      <c r="F18" s="283">
        <v>3</v>
      </c>
      <c r="G18" s="283">
        <v>6</v>
      </c>
      <c r="H18" s="283">
        <v>0</v>
      </c>
    </row>
    <row r="19" spans="1:8" ht="13" x14ac:dyDescent="0.3">
      <c r="A19" s="3"/>
      <c r="B19" s="108" t="s">
        <v>361</v>
      </c>
      <c r="C19" s="109">
        <f t="shared" ref="C19:H19" si="2">SUM(C16:C18)</f>
        <v>13</v>
      </c>
      <c r="D19" s="109">
        <f t="shared" si="2"/>
        <v>16</v>
      </c>
      <c r="E19" s="109">
        <f t="shared" si="2"/>
        <v>0</v>
      </c>
      <c r="F19" s="109">
        <f t="shared" si="2"/>
        <v>13</v>
      </c>
      <c r="G19" s="109">
        <f t="shared" si="2"/>
        <v>23</v>
      </c>
      <c r="H19" s="109">
        <f t="shared" si="2"/>
        <v>0</v>
      </c>
    </row>
    <row r="20" spans="1:8" ht="13" x14ac:dyDescent="0.3">
      <c r="A20" s="3"/>
      <c r="B20" s="108" t="s">
        <v>360</v>
      </c>
      <c r="C20" s="96">
        <f t="shared" ref="C20:H20" si="3">SUM(C14, C19)</f>
        <v>293</v>
      </c>
      <c r="D20" s="96">
        <f t="shared" si="3"/>
        <v>322</v>
      </c>
      <c r="E20" s="96">
        <f t="shared" si="3"/>
        <v>23</v>
      </c>
      <c r="F20" s="96">
        <f t="shared" si="3"/>
        <v>15</v>
      </c>
      <c r="G20" s="96">
        <f t="shared" si="3"/>
        <v>24</v>
      </c>
      <c r="H20" s="96">
        <f t="shared" si="3"/>
        <v>0</v>
      </c>
    </row>
    <row r="21" spans="1:8" ht="13" x14ac:dyDescent="0.3">
      <c r="A21" s="3"/>
      <c r="B21" s="107"/>
      <c r="C21" s="106"/>
      <c r="D21" s="105"/>
      <c r="E21" s="105"/>
      <c r="F21" s="105"/>
      <c r="G21" s="105"/>
    </row>
    <row r="22" spans="1:8" ht="13" x14ac:dyDescent="0.25">
      <c r="A22" s="3"/>
      <c r="B22" s="1" t="s">
        <v>359</v>
      </c>
      <c r="C22" s="104">
        <f>SUM(C14:H14)</f>
        <v>612</v>
      </c>
      <c r="F22" s="103"/>
      <c r="G22" s="103"/>
    </row>
    <row r="23" spans="1:8" ht="13" x14ac:dyDescent="0.25">
      <c r="A23" s="3"/>
      <c r="B23" s="1" t="s">
        <v>358</v>
      </c>
      <c r="C23" s="102">
        <f>SUM(C19:H19)</f>
        <v>65</v>
      </c>
      <c r="F23" s="101"/>
      <c r="G23" s="101"/>
    </row>
    <row r="24" spans="1:8" ht="13" x14ac:dyDescent="0.3">
      <c r="A24" s="3"/>
      <c r="B24" s="69" t="s">
        <v>357</v>
      </c>
      <c r="C24" s="100">
        <f>SUM(C22:C23)</f>
        <v>677</v>
      </c>
      <c r="D24" s="69"/>
      <c r="E24" s="69"/>
      <c r="F24" s="99"/>
      <c r="G24" s="99"/>
    </row>
    <row r="25" spans="1:8" ht="22.5" customHeight="1" x14ac:dyDescent="0.3">
      <c r="A25" s="98" t="s">
        <v>356</v>
      </c>
      <c r="B25" s="592" t="s">
        <v>355</v>
      </c>
      <c r="C25" s="593"/>
      <c r="D25" s="593"/>
      <c r="E25" s="593"/>
      <c r="F25" s="593"/>
      <c r="G25" s="37"/>
    </row>
    <row r="26" spans="1:8" ht="27.75" customHeight="1" x14ac:dyDescent="0.25">
      <c r="A26" s="3"/>
      <c r="B26" s="551" t="s">
        <v>1855</v>
      </c>
      <c r="C26" s="551"/>
      <c r="D26" s="551"/>
      <c r="E26" s="551"/>
      <c r="F26" s="551"/>
      <c r="G26" s="40"/>
    </row>
    <row r="27" spans="1:8" ht="15" customHeight="1" x14ac:dyDescent="0.25">
      <c r="A27" s="3"/>
      <c r="B27" s="551" t="s">
        <v>1284</v>
      </c>
      <c r="C27" s="551"/>
      <c r="D27" s="551"/>
      <c r="E27" s="551"/>
      <c r="F27" s="551"/>
      <c r="G27" s="40"/>
    </row>
    <row r="28" spans="1:8" ht="15.75" customHeight="1" x14ac:dyDescent="0.25">
      <c r="A28" s="3"/>
      <c r="B28" s="551" t="s">
        <v>354</v>
      </c>
      <c r="C28" s="551"/>
      <c r="D28" s="551"/>
      <c r="E28" s="551"/>
      <c r="F28" s="551"/>
      <c r="G28" s="40"/>
    </row>
    <row r="29" spans="1:8" ht="42" customHeight="1" x14ac:dyDescent="0.25">
      <c r="A29" s="3"/>
      <c r="B29" s="551" t="s">
        <v>353</v>
      </c>
      <c r="C29" s="551"/>
      <c r="D29" s="551"/>
      <c r="E29" s="551"/>
      <c r="F29" s="551"/>
      <c r="G29" s="40"/>
    </row>
    <row r="30" spans="1:8" ht="17" customHeight="1" x14ac:dyDescent="0.25">
      <c r="A30" s="3"/>
      <c r="B30" s="551" t="s">
        <v>1279</v>
      </c>
      <c r="C30" s="551"/>
      <c r="D30" s="551"/>
      <c r="E30" s="551"/>
      <c r="F30" s="551"/>
      <c r="G30" s="40"/>
    </row>
    <row r="31" spans="1:8" ht="59" customHeight="1" x14ac:dyDescent="0.25">
      <c r="A31" s="3"/>
      <c r="B31" s="551" t="s">
        <v>1280</v>
      </c>
      <c r="C31" s="551"/>
      <c r="D31" s="551"/>
      <c r="E31" s="551"/>
      <c r="F31" s="551"/>
      <c r="G31" s="40"/>
    </row>
    <row r="32" spans="1:8" ht="86" customHeight="1" x14ac:dyDescent="0.25">
      <c r="A32" s="3"/>
      <c r="B32" s="551" t="s">
        <v>1281</v>
      </c>
      <c r="C32" s="551"/>
      <c r="D32" s="551"/>
      <c r="E32" s="551"/>
      <c r="F32" s="551"/>
      <c r="G32" s="40"/>
    </row>
    <row r="33" spans="1:7" ht="37" customHeight="1" x14ac:dyDescent="0.25">
      <c r="A33" s="3"/>
      <c r="B33" s="561" t="s">
        <v>1282</v>
      </c>
      <c r="C33" s="561"/>
      <c r="D33" s="561"/>
      <c r="E33" s="561"/>
      <c r="F33" s="561"/>
      <c r="G33" s="40"/>
    </row>
    <row r="34" spans="1:7" ht="46" x14ac:dyDescent="0.25">
      <c r="A34" s="3"/>
      <c r="B34" s="588"/>
      <c r="C34" s="588"/>
      <c r="D34" s="27" t="s">
        <v>352</v>
      </c>
      <c r="E34" s="97" t="s">
        <v>351</v>
      </c>
      <c r="F34" s="97" t="s">
        <v>350</v>
      </c>
      <c r="G34" s="210"/>
    </row>
    <row r="35" spans="1:7" ht="13" x14ac:dyDescent="0.25">
      <c r="A35" s="3"/>
      <c r="B35" s="584" t="s">
        <v>1283</v>
      </c>
      <c r="C35" s="584"/>
      <c r="D35" s="284">
        <v>28</v>
      </c>
      <c r="E35" s="284">
        <v>113</v>
      </c>
      <c r="F35" s="284" t="s">
        <v>582</v>
      </c>
      <c r="G35" s="101"/>
    </row>
    <row r="36" spans="1:7" ht="13" x14ac:dyDescent="0.25">
      <c r="A36" s="3"/>
      <c r="B36" s="585" t="s">
        <v>349</v>
      </c>
      <c r="C36" s="586"/>
      <c r="D36" s="284">
        <v>12</v>
      </c>
      <c r="E36" s="284">
        <v>51</v>
      </c>
      <c r="F36" s="284" t="s">
        <v>582</v>
      </c>
      <c r="G36" s="101"/>
    </row>
    <row r="37" spans="1:7" ht="13" x14ac:dyDescent="0.25">
      <c r="A37" s="3"/>
      <c r="B37" s="584" t="s">
        <v>348</v>
      </c>
      <c r="C37" s="584"/>
      <c r="D37" s="284">
        <v>11</v>
      </c>
      <c r="E37" s="284">
        <v>45</v>
      </c>
      <c r="F37" s="284" t="s">
        <v>582</v>
      </c>
      <c r="G37" s="101"/>
    </row>
    <row r="38" spans="1:7" ht="13" x14ac:dyDescent="0.25">
      <c r="A38" s="3"/>
      <c r="B38" s="587" t="s">
        <v>347</v>
      </c>
      <c r="C38" s="586"/>
      <c r="D38" s="284">
        <v>108</v>
      </c>
      <c r="E38" s="284">
        <v>333</v>
      </c>
      <c r="F38" s="284" t="s">
        <v>582</v>
      </c>
      <c r="G38" s="101"/>
    </row>
    <row r="39" spans="1:7" ht="15" customHeight="1" x14ac:dyDescent="0.25">
      <c r="A39" s="3"/>
      <c r="B39" s="584" t="s">
        <v>346</v>
      </c>
      <c r="C39" s="584"/>
      <c r="D39" s="284">
        <v>0</v>
      </c>
      <c r="E39" s="284">
        <v>0</v>
      </c>
      <c r="F39" s="284" t="s">
        <v>582</v>
      </c>
      <c r="G39" s="101"/>
    </row>
    <row r="40" spans="1:7" ht="13" x14ac:dyDescent="0.25">
      <c r="A40" s="3"/>
      <c r="B40" s="584" t="s">
        <v>345</v>
      </c>
      <c r="C40" s="584"/>
      <c r="D40" s="284">
        <v>6</v>
      </c>
      <c r="E40" s="284">
        <v>16</v>
      </c>
      <c r="F40" s="284" t="s">
        <v>582</v>
      </c>
      <c r="G40" s="101"/>
    </row>
    <row r="41" spans="1:7" ht="26.25" customHeight="1" x14ac:dyDescent="0.25">
      <c r="A41" s="3"/>
      <c r="B41" s="589" t="s">
        <v>344</v>
      </c>
      <c r="C41" s="590"/>
      <c r="D41" s="284">
        <v>0</v>
      </c>
      <c r="E41" s="284">
        <v>0</v>
      </c>
      <c r="F41" s="284" t="s">
        <v>582</v>
      </c>
      <c r="G41" s="101"/>
    </row>
    <row r="42" spans="1:7" ht="13" x14ac:dyDescent="0.25">
      <c r="A42" s="3"/>
      <c r="B42" s="584" t="s">
        <v>343</v>
      </c>
      <c r="C42" s="584"/>
      <c r="D42" s="284">
        <v>8</v>
      </c>
      <c r="E42" s="284">
        <v>26</v>
      </c>
      <c r="F42" s="284" t="s">
        <v>582</v>
      </c>
      <c r="G42" s="101"/>
    </row>
    <row r="43" spans="1:7" ht="13" x14ac:dyDescent="0.25">
      <c r="A43" s="3"/>
      <c r="B43" s="584" t="s">
        <v>342</v>
      </c>
      <c r="C43" s="584"/>
      <c r="D43" s="284">
        <v>0</v>
      </c>
      <c r="E43" s="284">
        <v>5</v>
      </c>
      <c r="F43" s="284" t="s">
        <v>582</v>
      </c>
      <c r="G43" s="101"/>
    </row>
    <row r="44" spans="1:7" ht="13" x14ac:dyDescent="0.3">
      <c r="A44" s="3"/>
      <c r="B44" s="591" t="s">
        <v>341</v>
      </c>
      <c r="C44" s="591"/>
      <c r="D44" s="96">
        <f>SUM(D35:D43)</f>
        <v>173</v>
      </c>
      <c r="E44" s="96">
        <f>SUM(E35:E43)</f>
        <v>589</v>
      </c>
      <c r="F44" s="96">
        <f>SUM(F35:F43)</f>
        <v>0</v>
      </c>
      <c r="G44" s="205"/>
    </row>
    <row r="45" spans="1:7" ht="12.5" x14ac:dyDescent="0.25"/>
    <row r="46" spans="1:7" ht="15.5" x14ac:dyDescent="0.35">
      <c r="B46" s="95" t="s">
        <v>340</v>
      </c>
    </row>
    <row r="47" spans="1:7" ht="13" x14ac:dyDescent="0.3">
      <c r="A47" s="3" t="s">
        <v>339</v>
      </c>
      <c r="B47" s="69" t="s">
        <v>1856</v>
      </c>
      <c r="F47" s="94"/>
      <c r="G47" s="94"/>
    </row>
    <row r="48" spans="1:7" ht="13" x14ac:dyDescent="0.25">
      <c r="A48" s="3"/>
      <c r="B48" s="1" t="s">
        <v>338</v>
      </c>
      <c r="C48" s="223">
        <v>1</v>
      </c>
      <c r="F48" s="94"/>
      <c r="G48" s="94"/>
    </row>
    <row r="49" spans="1:9" ht="13" x14ac:dyDescent="0.25">
      <c r="A49" s="3"/>
      <c r="B49" s="1" t="s">
        <v>337</v>
      </c>
      <c r="C49" s="223">
        <v>0</v>
      </c>
      <c r="F49" s="94"/>
      <c r="G49" s="94"/>
    </row>
    <row r="50" spans="1:9" ht="13" x14ac:dyDescent="0.25">
      <c r="A50" s="3"/>
      <c r="B50" s="1" t="s">
        <v>336</v>
      </c>
      <c r="C50" s="223">
        <v>204</v>
      </c>
      <c r="F50" s="94"/>
      <c r="G50" s="94"/>
    </row>
    <row r="51" spans="1:9" ht="13" x14ac:dyDescent="0.25">
      <c r="A51" s="3"/>
      <c r="B51" s="1" t="s">
        <v>335</v>
      </c>
      <c r="C51" s="223">
        <v>0</v>
      </c>
      <c r="F51" s="94"/>
      <c r="G51" s="94"/>
    </row>
    <row r="52" spans="1:9" ht="13" x14ac:dyDescent="0.25">
      <c r="A52" s="3"/>
      <c r="B52" s="1" t="s">
        <v>334</v>
      </c>
      <c r="C52" s="223">
        <v>31</v>
      </c>
      <c r="F52" s="94"/>
      <c r="G52" s="94"/>
    </row>
    <row r="53" spans="1:9" ht="13" x14ac:dyDescent="0.25">
      <c r="A53" s="3"/>
      <c r="B53" s="1" t="s">
        <v>333</v>
      </c>
      <c r="C53" s="223">
        <v>0</v>
      </c>
      <c r="F53" s="94"/>
      <c r="G53" s="94"/>
    </row>
    <row r="54" spans="1:9" ht="25" x14ac:dyDescent="0.25">
      <c r="A54" s="3"/>
      <c r="B54" s="35" t="s">
        <v>332</v>
      </c>
      <c r="C54" s="223">
        <v>0</v>
      </c>
      <c r="F54" s="94"/>
      <c r="G54" s="94"/>
    </row>
    <row r="55" spans="1:9" ht="24.75" customHeight="1" x14ac:dyDescent="0.25">
      <c r="A55" s="3"/>
      <c r="B55" s="35" t="s">
        <v>331</v>
      </c>
      <c r="C55" s="223">
        <v>0</v>
      </c>
      <c r="F55" s="94"/>
      <c r="G55" s="94"/>
    </row>
    <row r="56" spans="1:9" ht="13" x14ac:dyDescent="0.25">
      <c r="A56" s="3"/>
      <c r="B56" s="1" t="s">
        <v>330</v>
      </c>
      <c r="C56" s="223">
        <v>0</v>
      </c>
      <c r="F56" s="94"/>
      <c r="G56" s="94"/>
    </row>
    <row r="57" spans="1:9" ht="14" x14ac:dyDescent="0.25">
      <c r="B57" s="93" t="s">
        <v>329</v>
      </c>
      <c r="C57" s="40"/>
      <c r="D57" s="40"/>
      <c r="E57" s="40"/>
      <c r="F57" s="40"/>
      <c r="G57" s="40"/>
    </row>
    <row r="58" spans="1:9" ht="24.75" customHeight="1" x14ac:dyDescent="0.25">
      <c r="B58" s="551" t="s">
        <v>328</v>
      </c>
      <c r="C58" s="551"/>
      <c r="D58" s="551"/>
      <c r="E58" s="551"/>
      <c r="F58" s="551"/>
      <c r="G58" s="40"/>
    </row>
    <row r="59" spans="1:9" ht="46.5" customHeight="1" x14ac:dyDescent="0.25">
      <c r="B59" s="551" t="s">
        <v>1857</v>
      </c>
      <c r="C59" s="551"/>
      <c r="D59" s="551"/>
      <c r="E59" s="551"/>
      <c r="F59" s="551"/>
      <c r="G59" s="40"/>
    </row>
    <row r="60" spans="1:9" s="40" customFormat="1" ht="180" customHeight="1" x14ac:dyDescent="0.25">
      <c r="A60" s="2"/>
      <c r="B60" s="551" t="s">
        <v>1858</v>
      </c>
      <c r="C60" s="551"/>
      <c r="D60" s="551"/>
      <c r="E60" s="551"/>
      <c r="F60" s="551"/>
      <c r="I60" s="1"/>
    </row>
    <row r="61" spans="1:9" s="40" customFormat="1" ht="27.75" customHeight="1" x14ac:dyDescent="0.25">
      <c r="A61" s="2"/>
      <c r="B61" s="574" t="s">
        <v>327</v>
      </c>
      <c r="C61" s="574"/>
      <c r="D61" s="574"/>
      <c r="E61" s="574"/>
      <c r="F61" s="574"/>
      <c r="G61" s="166"/>
      <c r="I61" s="1"/>
    </row>
    <row r="62" spans="1:9" s="40" customFormat="1" ht="26.25" customHeight="1" x14ac:dyDescent="0.25">
      <c r="A62" s="2"/>
      <c r="B62" s="566" t="s">
        <v>1859</v>
      </c>
      <c r="C62" s="566"/>
      <c r="D62" s="566"/>
      <c r="E62" s="566"/>
      <c r="F62" s="566"/>
      <c r="G62" s="5"/>
      <c r="I62" s="1"/>
    </row>
    <row r="63" spans="1:9" s="40" customFormat="1" ht="26.25" customHeight="1" x14ac:dyDescent="0.25">
      <c r="A63" s="2"/>
      <c r="B63" s="575" t="s">
        <v>1860</v>
      </c>
      <c r="C63" s="575"/>
      <c r="D63" s="575"/>
      <c r="E63" s="575"/>
      <c r="F63" s="575"/>
      <c r="G63" s="206"/>
      <c r="I63" s="1"/>
    </row>
    <row r="64" spans="1:9" s="40" customFormat="1" ht="54.75" customHeight="1" x14ac:dyDescent="0.25">
      <c r="A64" s="2"/>
      <c r="B64" s="576"/>
      <c r="C64" s="578" t="s">
        <v>326</v>
      </c>
      <c r="D64" s="578" t="s">
        <v>325</v>
      </c>
      <c r="E64" s="578" t="s">
        <v>324</v>
      </c>
      <c r="F64" s="578" t="s">
        <v>323</v>
      </c>
      <c r="G64" s="207"/>
      <c r="I64" s="1"/>
    </row>
    <row r="65" spans="1:9" s="40" customFormat="1" ht="24" customHeight="1" x14ac:dyDescent="0.25">
      <c r="A65" s="2"/>
      <c r="B65" s="577"/>
      <c r="C65" s="579"/>
      <c r="D65" s="579"/>
      <c r="E65" s="579"/>
      <c r="F65" s="579"/>
      <c r="G65" s="207"/>
      <c r="I65" s="1"/>
    </row>
    <row r="66" spans="1:9" s="40" customFormat="1" ht="51.75" customHeight="1" x14ac:dyDescent="0.25">
      <c r="A66" s="92" t="s">
        <v>62</v>
      </c>
      <c r="B66" s="477" t="s">
        <v>1861</v>
      </c>
      <c r="C66" s="219">
        <v>100</v>
      </c>
      <c r="D66" s="219">
        <v>94</v>
      </c>
      <c r="E66" s="219">
        <v>161</v>
      </c>
      <c r="F66" s="286">
        <f t="shared" ref="F66:F71" si="4">SUM(C66:E66)</f>
        <v>355</v>
      </c>
      <c r="I66" s="1"/>
    </row>
    <row r="67" spans="1:9" s="40" customFormat="1" ht="119.25" customHeight="1" x14ac:dyDescent="0.25">
      <c r="A67" s="92" t="s">
        <v>63</v>
      </c>
      <c r="B67" s="478" t="s">
        <v>1862</v>
      </c>
      <c r="C67" s="219">
        <v>0</v>
      </c>
      <c r="D67" s="219">
        <v>0</v>
      </c>
      <c r="E67" s="219">
        <v>0</v>
      </c>
      <c r="F67" s="286">
        <f t="shared" si="4"/>
        <v>0</v>
      </c>
      <c r="I67" s="1"/>
    </row>
    <row r="68" spans="1:9" s="40" customFormat="1" ht="27.75" customHeight="1" x14ac:dyDescent="0.25">
      <c r="A68" s="92" t="s">
        <v>65</v>
      </c>
      <c r="B68" s="477" t="s">
        <v>1863</v>
      </c>
      <c r="C68" s="286">
        <f>(C66-C67)</f>
        <v>100</v>
      </c>
      <c r="D68" s="286">
        <f>(D66-D67)</f>
        <v>94</v>
      </c>
      <c r="E68" s="286">
        <f>(E66-E67)</f>
        <v>161</v>
      </c>
      <c r="F68" s="286">
        <f t="shared" si="4"/>
        <v>355</v>
      </c>
      <c r="I68" s="1"/>
    </row>
    <row r="69" spans="1:9" s="40" customFormat="1" ht="51.75" customHeight="1" x14ac:dyDescent="0.25">
      <c r="A69" s="92" t="s">
        <v>67</v>
      </c>
      <c r="B69" s="479" t="s">
        <v>1864</v>
      </c>
      <c r="C69" s="219">
        <v>57</v>
      </c>
      <c r="D69" s="219">
        <v>55</v>
      </c>
      <c r="E69" s="219">
        <v>123</v>
      </c>
      <c r="F69" s="286">
        <f t="shared" si="4"/>
        <v>235</v>
      </c>
      <c r="I69" s="1"/>
    </row>
    <row r="70" spans="1:9" s="40" customFormat="1" ht="63.75" customHeight="1" x14ac:dyDescent="0.25">
      <c r="A70" s="92" t="s">
        <v>69</v>
      </c>
      <c r="B70" s="479" t="s">
        <v>1865</v>
      </c>
      <c r="C70" s="219">
        <v>10</v>
      </c>
      <c r="D70" s="219">
        <v>6</v>
      </c>
      <c r="E70" s="219">
        <v>9</v>
      </c>
      <c r="F70" s="286">
        <f t="shared" si="4"/>
        <v>25</v>
      </c>
      <c r="I70" s="1"/>
    </row>
    <row r="71" spans="1:9" s="40" customFormat="1" ht="68.25" customHeight="1" x14ac:dyDescent="0.25">
      <c r="A71" s="92" t="s">
        <v>71</v>
      </c>
      <c r="B71" s="479" t="s">
        <v>1866</v>
      </c>
      <c r="C71" s="219">
        <v>0</v>
      </c>
      <c r="D71" s="219">
        <v>2</v>
      </c>
      <c r="E71" s="219">
        <v>3</v>
      </c>
      <c r="F71" s="286">
        <f t="shared" si="4"/>
        <v>5</v>
      </c>
      <c r="I71" s="1"/>
    </row>
    <row r="72" spans="1:9" s="40" customFormat="1" ht="36" customHeight="1" x14ac:dyDescent="0.25">
      <c r="A72" s="92" t="s">
        <v>73</v>
      </c>
      <c r="B72" s="479" t="s">
        <v>322</v>
      </c>
      <c r="C72" s="286">
        <f>SUM(C69:C71)</f>
        <v>67</v>
      </c>
      <c r="D72" s="286">
        <f t="shared" ref="D72:E72" si="5">SUM(D69:D71)</f>
        <v>63</v>
      </c>
      <c r="E72" s="286">
        <f t="shared" si="5"/>
        <v>135</v>
      </c>
      <c r="F72" s="286">
        <f>SUM(F69:F71)</f>
        <v>265</v>
      </c>
      <c r="I72" s="1"/>
    </row>
    <row r="73" spans="1:9" s="40" customFormat="1" ht="43.5" customHeight="1" x14ac:dyDescent="0.25">
      <c r="A73" s="92" t="s">
        <v>75</v>
      </c>
      <c r="B73" s="479" t="s">
        <v>1867</v>
      </c>
      <c r="C73" s="482">
        <f>(C72/C68)*100</f>
        <v>67</v>
      </c>
      <c r="D73" s="482">
        <f t="shared" ref="D73:F73" si="6">(D72/D68)*100</f>
        <v>67.021276595744681</v>
      </c>
      <c r="E73" s="482">
        <f t="shared" si="6"/>
        <v>83.850931677018636</v>
      </c>
      <c r="F73" s="482">
        <f t="shared" si="6"/>
        <v>74.647887323943664</v>
      </c>
      <c r="G73" s="39" t="s">
        <v>1888</v>
      </c>
      <c r="I73" s="1"/>
    </row>
    <row r="74" spans="1:9" s="40" customFormat="1" ht="21" customHeight="1" x14ac:dyDescent="0.25">
      <c r="A74" s="92"/>
      <c r="B74" s="91"/>
      <c r="I74" s="1"/>
    </row>
    <row r="75" spans="1:9" s="40" customFormat="1" ht="18.75" customHeight="1" x14ac:dyDescent="0.25">
      <c r="A75" s="2"/>
      <c r="B75" s="580" t="s">
        <v>1868</v>
      </c>
      <c r="C75" s="581"/>
      <c r="D75" s="581"/>
      <c r="E75" s="581"/>
      <c r="F75" s="581"/>
      <c r="G75" s="191"/>
      <c r="I75" s="1"/>
    </row>
    <row r="76" spans="1:9" s="40" customFormat="1" ht="54.75" customHeight="1" x14ac:dyDescent="0.25">
      <c r="A76" s="2"/>
      <c r="B76" s="582"/>
      <c r="C76" s="583" t="s">
        <v>326</v>
      </c>
      <c r="D76" s="583" t="s">
        <v>325</v>
      </c>
      <c r="E76" s="583" t="s">
        <v>324</v>
      </c>
      <c r="F76" s="583" t="s">
        <v>323</v>
      </c>
      <c r="G76" s="207"/>
      <c r="I76" s="1"/>
    </row>
    <row r="77" spans="1:9" s="40" customFormat="1" ht="25.5" customHeight="1" x14ac:dyDescent="0.25">
      <c r="A77" s="2"/>
      <c r="B77" s="582"/>
      <c r="C77" s="583"/>
      <c r="D77" s="583"/>
      <c r="E77" s="583"/>
      <c r="F77" s="583"/>
      <c r="G77" s="207"/>
      <c r="I77" s="1"/>
    </row>
    <row r="78" spans="1:9" s="40" customFormat="1" ht="54.75" customHeight="1" x14ac:dyDescent="0.25">
      <c r="A78" s="90" t="s">
        <v>62</v>
      </c>
      <c r="B78" s="477" t="s">
        <v>1869</v>
      </c>
      <c r="C78" s="285" t="s">
        <v>582</v>
      </c>
      <c r="D78" s="285" t="s">
        <v>582</v>
      </c>
      <c r="E78" s="285" t="s">
        <v>582</v>
      </c>
      <c r="F78" s="286">
        <f t="shared" ref="F78:F84" si="7">SUM(C78:E78)</f>
        <v>0</v>
      </c>
      <c r="G78" s="141"/>
      <c r="I78" s="1"/>
    </row>
    <row r="79" spans="1:9" s="40" customFormat="1" ht="120" customHeight="1" x14ac:dyDescent="0.25">
      <c r="A79" s="90" t="s">
        <v>63</v>
      </c>
      <c r="B79" s="480" t="s">
        <v>1870</v>
      </c>
      <c r="C79" s="285" t="s">
        <v>582</v>
      </c>
      <c r="D79" s="285" t="s">
        <v>582</v>
      </c>
      <c r="E79" s="285" t="s">
        <v>582</v>
      </c>
      <c r="F79" s="286">
        <f t="shared" si="7"/>
        <v>0</v>
      </c>
      <c r="G79" s="141"/>
      <c r="I79" s="1"/>
    </row>
    <row r="80" spans="1:9" s="40" customFormat="1" ht="34.5" customHeight="1" x14ac:dyDescent="0.25">
      <c r="A80" s="90" t="s">
        <v>65</v>
      </c>
      <c r="B80" s="477" t="s">
        <v>1871</v>
      </c>
      <c r="C80" s="286" t="e">
        <f>(C78-C79)</f>
        <v>#VALUE!</v>
      </c>
      <c r="D80" s="286" t="e">
        <f>(D78-D79)</f>
        <v>#VALUE!</v>
      </c>
      <c r="E80" s="286" t="e">
        <f>(E78-E79)</f>
        <v>#VALUE!</v>
      </c>
      <c r="F80" s="286" t="e">
        <f t="shared" si="7"/>
        <v>#VALUE!</v>
      </c>
      <c r="G80" s="141"/>
      <c r="I80" s="1"/>
    </row>
    <row r="81" spans="1:9" s="40" customFormat="1" ht="52.5" customHeight="1" x14ac:dyDescent="0.25">
      <c r="A81" s="90" t="s">
        <v>67</v>
      </c>
      <c r="B81" s="477" t="s">
        <v>1872</v>
      </c>
      <c r="C81" s="285" t="s">
        <v>582</v>
      </c>
      <c r="D81" s="285" t="s">
        <v>582</v>
      </c>
      <c r="E81" s="285" t="s">
        <v>582</v>
      </c>
      <c r="F81" s="286">
        <f t="shared" si="7"/>
        <v>0</v>
      </c>
      <c r="G81" s="141"/>
      <c r="I81" s="1"/>
    </row>
    <row r="82" spans="1:9" s="40" customFormat="1" ht="68.25" customHeight="1" x14ac:dyDescent="0.25">
      <c r="A82" s="90" t="s">
        <v>69</v>
      </c>
      <c r="B82" s="477" t="s">
        <v>1873</v>
      </c>
      <c r="C82" s="285" t="s">
        <v>582</v>
      </c>
      <c r="D82" s="285" t="s">
        <v>582</v>
      </c>
      <c r="E82" s="285" t="s">
        <v>582</v>
      </c>
      <c r="F82" s="286">
        <f t="shared" si="7"/>
        <v>0</v>
      </c>
      <c r="G82" s="141"/>
      <c r="I82" s="1"/>
    </row>
    <row r="83" spans="1:9" s="40" customFormat="1" ht="65.25" customHeight="1" x14ac:dyDescent="0.25">
      <c r="A83" s="90" t="s">
        <v>71</v>
      </c>
      <c r="B83" s="479" t="s">
        <v>1874</v>
      </c>
      <c r="C83" s="285" t="s">
        <v>582</v>
      </c>
      <c r="D83" s="285" t="s">
        <v>582</v>
      </c>
      <c r="E83" s="285" t="s">
        <v>582</v>
      </c>
      <c r="F83" s="286">
        <f t="shared" si="7"/>
        <v>0</v>
      </c>
      <c r="G83" s="141"/>
      <c r="I83" s="1"/>
    </row>
    <row r="84" spans="1:9" s="40" customFormat="1" ht="31.5" customHeight="1" x14ac:dyDescent="0.25">
      <c r="A84" s="90" t="s">
        <v>73</v>
      </c>
      <c r="B84" s="479" t="s">
        <v>322</v>
      </c>
      <c r="C84" s="286">
        <f>SUM(C81:C83)</f>
        <v>0</v>
      </c>
      <c r="D84" s="286">
        <f t="shared" ref="D84:E84" si="8">SUM(D81:D83)</f>
        <v>0</v>
      </c>
      <c r="E84" s="286">
        <f t="shared" si="8"/>
        <v>0</v>
      </c>
      <c r="F84" s="286">
        <f t="shared" si="7"/>
        <v>0</v>
      </c>
      <c r="G84" s="141"/>
      <c r="I84" s="1"/>
    </row>
    <row r="85" spans="1:9" s="40" customFormat="1" ht="37.5" customHeight="1" x14ac:dyDescent="0.25">
      <c r="A85" s="90" t="s">
        <v>75</v>
      </c>
      <c r="B85" s="479" t="s">
        <v>1875</v>
      </c>
      <c r="C85" s="482" t="e">
        <f>(C84/C80)*100</f>
        <v>#VALUE!</v>
      </c>
      <c r="D85" s="482" t="e">
        <f t="shared" ref="D85:F85" si="9">(D84/D80)*100</f>
        <v>#VALUE!</v>
      </c>
      <c r="E85" s="482" t="e">
        <f t="shared" si="9"/>
        <v>#VALUE!</v>
      </c>
      <c r="F85" s="482" t="e">
        <f t="shared" si="9"/>
        <v>#VALUE!</v>
      </c>
      <c r="G85" s="39" t="s">
        <v>1888</v>
      </c>
      <c r="I85" s="1"/>
    </row>
    <row r="86" spans="1:9" ht="21.75" customHeight="1" x14ac:dyDescent="0.3">
      <c r="B86" s="69" t="s">
        <v>321</v>
      </c>
      <c r="F86" s="89"/>
      <c r="G86" s="89"/>
    </row>
    <row r="87" spans="1:9" ht="32.25" customHeight="1" x14ac:dyDescent="0.25">
      <c r="B87" s="567" t="s">
        <v>1876</v>
      </c>
      <c r="C87" s="567"/>
      <c r="D87" s="567"/>
      <c r="E87" s="567"/>
      <c r="F87" s="567"/>
      <c r="G87" s="40"/>
    </row>
    <row r="88" spans="1:9" ht="13" x14ac:dyDescent="0.3">
      <c r="B88" s="568"/>
      <c r="C88" s="568"/>
      <c r="D88" s="568"/>
      <c r="E88" s="481" t="s">
        <v>1877</v>
      </c>
      <c r="F88" s="481" t="s">
        <v>1878</v>
      </c>
      <c r="G88" s="208"/>
      <c r="I88" s="40"/>
    </row>
    <row r="89" spans="1:9" ht="23.25" customHeight="1" x14ac:dyDescent="0.25">
      <c r="A89" s="3" t="s">
        <v>320</v>
      </c>
      <c r="B89" s="564" t="s">
        <v>319</v>
      </c>
      <c r="C89" s="565"/>
      <c r="D89" s="565"/>
      <c r="E89" s="287"/>
      <c r="F89" s="283"/>
      <c r="G89" s="89"/>
      <c r="I89" s="40"/>
    </row>
    <row r="90" spans="1:9" ht="94.5" customHeight="1" x14ac:dyDescent="0.25">
      <c r="A90" s="3" t="s">
        <v>318</v>
      </c>
      <c r="B90" s="562" t="s">
        <v>317</v>
      </c>
      <c r="C90" s="563"/>
      <c r="D90" s="563"/>
      <c r="E90" s="287"/>
      <c r="F90" s="283"/>
      <c r="G90" s="89"/>
      <c r="I90" s="40"/>
    </row>
    <row r="91" spans="1:9" ht="13.5" customHeight="1" x14ac:dyDescent="0.25">
      <c r="A91" s="3" t="s">
        <v>316</v>
      </c>
      <c r="B91" s="564" t="s">
        <v>315</v>
      </c>
      <c r="C91" s="565"/>
      <c r="D91" s="565"/>
      <c r="E91" s="75">
        <f>E89-E90</f>
        <v>0</v>
      </c>
      <c r="F91" s="75">
        <f>F89-F90</f>
        <v>0</v>
      </c>
      <c r="G91" s="89"/>
      <c r="I91" s="40"/>
    </row>
    <row r="92" spans="1:9" ht="16.5" customHeight="1" x14ac:dyDescent="0.25">
      <c r="A92" s="3" t="s">
        <v>314</v>
      </c>
      <c r="B92" s="564" t="s">
        <v>313</v>
      </c>
      <c r="C92" s="565"/>
      <c r="D92" s="565"/>
      <c r="E92" s="287"/>
      <c r="F92" s="283"/>
      <c r="G92" s="89"/>
      <c r="I92" s="40"/>
    </row>
    <row r="93" spans="1:9" ht="27.75" customHeight="1" x14ac:dyDescent="0.25">
      <c r="A93" s="3" t="s">
        <v>312</v>
      </c>
      <c r="B93" s="564" t="s">
        <v>311</v>
      </c>
      <c r="C93" s="565"/>
      <c r="D93" s="565"/>
      <c r="E93" s="287"/>
      <c r="F93" s="283"/>
      <c r="G93" s="89"/>
      <c r="I93" s="40"/>
    </row>
    <row r="94" spans="1:9" ht="13.5" customHeight="1" x14ac:dyDescent="0.25">
      <c r="A94" s="3" t="s">
        <v>310</v>
      </c>
      <c r="B94" s="564" t="s">
        <v>309</v>
      </c>
      <c r="C94" s="565"/>
      <c r="D94" s="565"/>
      <c r="E94" s="287"/>
      <c r="F94" s="283"/>
      <c r="G94" s="89"/>
      <c r="I94" s="40"/>
    </row>
    <row r="95" spans="1:9" ht="27" customHeight="1" x14ac:dyDescent="0.25">
      <c r="A95" s="3" t="s">
        <v>308</v>
      </c>
      <c r="B95" s="564" t="s">
        <v>307</v>
      </c>
      <c r="C95" s="565"/>
      <c r="D95" s="565"/>
      <c r="E95" s="287"/>
      <c r="F95" s="283"/>
      <c r="G95" s="89"/>
      <c r="I95" s="40"/>
    </row>
    <row r="96" spans="1:9" ht="12.75" customHeight="1" x14ac:dyDescent="0.25">
      <c r="A96" s="3" t="s">
        <v>306</v>
      </c>
      <c r="B96" s="564" t="s">
        <v>305</v>
      </c>
      <c r="C96" s="565"/>
      <c r="D96" s="565"/>
      <c r="E96" s="287"/>
      <c r="F96" s="283"/>
      <c r="G96" s="89"/>
      <c r="I96" s="40"/>
    </row>
    <row r="97" spans="1:9" ht="12.75" customHeight="1" x14ac:dyDescent="0.25">
      <c r="A97" s="3" t="s">
        <v>304</v>
      </c>
      <c r="B97" s="564" t="s">
        <v>303</v>
      </c>
      <c r="C97" s="565"/>
      <c r="D97" s="565"/>
      <c r="E97" s="287"/>
      <c r="F97" s="283"/>
      <c r="G97" s="89"/>
      <c r="I97" s="40"/>
    </row>
    <row r="98" spans="1:9" ht="12.75" customHeight="1" x14ac:dyDescent="0.25">
      <c r="A98" s="3" t="s">
        <v>302</v>
      </c>
      <c r="B98" s="564" t="s">
        <v>301</v>
      </c>
      <c r="C98" s="565"/>
      <c r="D98" s="565"/>
      <c r="E98" s="287"/>
      <c r="F98" s="283"/>
      <c r="G98" s="89"/>
      <c r="I98" s="40"/>
    </row>
    <row r="99" spans="1:9" ht="13" x14ac:dyDescent="0.3">
      <c r="B99" s="69" t="s">
        <v>300</v>
      </c>
      <c r="I99" s="40"/>
    </row>
    <row r="100" spans="1:9" ht="30.75" customHeight="1" x14ac:dyDescent="0.25">
      <c r="B100" s="566" t="s">
        <v>1879</v>
      </c>
      <c r="C100" s="566"/>
      <c r="D100" s="566"/>
      <c r="E100" s="566"/>
      <c r="F100" s="566"/>
      <c r="G100" s="5"/>
      <c r="I100" s="40"/>
    </row>
    <row r="101" spans="1:9" ht="18" customHeight="1" x14ac:dyDescent="0.25">
      <c r="B101" s="569" t="s">
        <v>299</v>
      </c>
      <c r="C101" s="569"/>
      <c r="D101" s="569"/>
      <c r="E101" s="569"/>
      <c r="F101" s="569"/>
      <c r="G101" s="52"/>
      <c r="I101" s="40"/>
    </row>
    <row r="102" spans="1:9" ht="88.5" customHeight="1" x14ac:dyDescent="0.25">
      <c r="B102" s="570" t="s">
        <v>298</v>
      </c>
      <c r="C102" s="570"/>
      <c r="D102" s="570"/>
      <c r="E102" s="570"/>
      <c r="F102" s="571"/>
      <c r="G102" s="201"/>
      <c r="I102" s="40"/>
    </row>
    <row r="103" spans="1:9" ht="59.25" customHeight="1" x14ac:dyDescent="0.25">
      <c r="A103" s="3" t="s">
        <v>297</v>
      </c>
      <c r="B103" s="572" t="s">
        <v>1931</v>
      </c>
      <c r="C103" s="573"/>
      <c r="D103" s="573"/>
      <c r="E103" s="573"/>
      <c r="F103" s="238">
        <v>79.53</v>
      </c>
      <c r="G103" s="483" t="s">
        <v>1888</v>
      </c>
      <c r="I103" s="40"/>
    </row>
    <row r="104" spans="1:9" ht="12.5" x14ac:dyDescent="0.25">
      <c r="I104" s="40"/>
    </row>
    <row r="105" spans="1:9" ht="0" hidden="1" customHeight="1" x14ac:dyDescent="0.25">
      <c r="I105" s="40"/>
    </row>
    <row r="106" spans="1:9" ht="65.25" hidden="1" customHeight="1" x14ac:dyDescent="0.25">
      <c r="I106" s="40"/>
    </row>
    <row r="107" spans="1:9" ht="51.75" hidden="1" customHeight="1" x14ac:dyDescent="0.25">
      <c r="I107" s="40"/>
    </row>
    <row r="108" spans="1:9" ht="12.5" x14ac:dyDescent="0.25">
      <c r="I108" s="40"/>
    </row>
    <row r="109" spans="1:9" ht="12.5" x14ac:dyDescent="0.25">
      <c r="B109" s="221"/>
      <c r="C109" s="221"/>
      <c r="D109" s="221"/>
      <c r="E109" s="221"/>
      <c r="F109" s="221"/>
      <c r="G109" s="221"/>
      <c r="I109" s="40"/>
    </row>
    <row r="110" spans="1:9" ht="12.5" x14ac:dyDescent="0.25">
      <c r="B110" s="221"/>
      <c r="C110" s="221"/>
      <c r="D110" s="221"/>
      <c r="E110" s="221"/>
      <c r="F110" s="221"/>
      <c r="G110" s="221"/>
      <c r="I110" s="40"/>
    </row>
    <row r="111" spans="1:9" ht="12.5" x14ac:dyDescent="0.25">
      <c r="B111" s="221"/>
      <c r="C111" s="221"/>
      <c r="D111" s="221"/>
      <c r="E111" s="221"/>
      <c r="F111" s="221"/>
      <c r="G111" s="221"/>
      <c r="I111" s="40"/>
    </row>
    <row r="112" spans="1:9" ht="12.5" x14ac:dyDescent="0.25">
      <c r="B112" s="221"/>
      <c r="C112" s="221"/>
      <c r="D112" s="221"/>
      <c r="E112" s="221"/>
      <c r="F112" s="221"/>
      <c r="G112" s="221"/>
      <c r="I112" s="40"/>
    </row>
    <row r="113" spans="2:9" ht="12.5" x14ac:dyDescent="0.25">
      <c r="B113" s="221"/>
      <c r="C113" s="221"/>
      <c r="D113" s="221"/>
      <c r="E113" s="221"/>
      <c r="F113" s="221"/>
      <c r="G113" s="221"/>
      <c r="I113" s="40"/>
    </row>
    <row r="114" spans="2:9" ht="12.5" x14ac:dyDescent="0.25">
      <c r="B114" s="221"/>
      <c r="C114" s="221"/>
      <c r="D114" s="221"/>
      <c r="E114" s="221"/>
      <c r="F114" s="221"/>
      <c r="G114" s="221"/>
      <c r="I114" s="40"/>
    </row>
    <row r="115" spans="2:9" ht="12.5" x14ac:dyDescent="0.25">
      <c r="B115" s="221"/>
      <c r="C115" s="221"/>
      <c r="D115" s="221"/>
      <c r="E115" s="221"/>
      <c r="F115" s="221"/>
      <c r="G115" s="221"/>
      <c r="I115" s="40"/>
    </row>
    <row r="116" spans="2:9" ht="12.5" x14ac:dyDescent="0.25">
      <c r="B116" s="221"/>
      <c r="C116" s="221"/>
      <c r="D116" s="221"/>
      <c r="E116" s="221"/>
      <c r="F116" s="221"/>
      <c r="G116" s="221"/>
    </row>
    <row r="117" spans="2:9" ht="12.5" x14ac:dyDescent="0.25">
      <c r="B117" s="221"/>
      <c r="C117" s="221"/>
      <c r="D117" s="221"/>
      <c r="E117" s="221"/>
      <c r="F117" s="221"/>
      <c r="G117" s="221"/>
    </row>
    <row r="118" spans="2:9" ht="12.5" x14ac:dyDescent="0.25">
      <c r="B118" s="221"/>
      <c r="C118" s="221"/>
      <c r="D118" s="221"/>
      <c r="E118" s="221"/>
      <c r="F118" s="221"/>
      <c r="G118" s="221"/>
    </row>
    <row r="119" spans="2:9" ht="12.5" x14ac:dyDescent="0.25"/>
    <row r="120" spans="2:9" ht="12.5" x14ac:dyDescent="0.25"/>
    <row r="121" spans="2:9" ht="12.5" x14ac:dyDescent="0.25"/>
    <row r="122" spans="2:9" ht="12.5" x14ac:dyDescent="0.25"/>
    <row r="123" spans="2:9" ht="12.5" x14ac:dyDescent="0.25"/>
    <row r="124" spans="2:9" ht="12.5" x14ac:dyDescent="0.25"/>
    <row r="125" spans="2:9" ht="12.5" x14ac:dyDescent="0.25"/>
    <row r="126" spans="2:9" ht="12.5" x14ac:dyDescent="0.25"/>
    <row r="127" spans="2:9" ht="12.5" x14ac:dyDescent="0.25"/>
    <row r="128" spans="2:9" ht="12.5" x14ac:dyDescent="0.25"/>
    <row r="129" ht="12.5" x14ac:dyDescent="0.25"/>
    <row r="130" ht="12.5" x14ac:dyDescent="0.25"/>
    <row r="131" ht="12.5" x14ac:dyDescent="0.25"/>
    <row r="132" ht="12.5" x14ac:dyDescent="0.25"/>
    <row r="133" ht="12.5" x14ac:dyDescent="0.25"/>
    <row r="134" ht="12.5" x14ac:dyDescent="0.25"/>
    <row r="135" ht="12.5" x14ac:dyDescent="0.25"/>
    <row r="136" ht="12.5" x14ac:dyDescent="0.25"/>
    <row r="137" ht="12.5" x14ac:dyDescent="0.25"/>
    <row r="138" ht="12.5" x14ac:dyDescent="0.25"/>
    <row r="139" ht="12.5" x14ac:dyDescent="0.25"/>
    <row r="140" ht="12.5" x14ac:dyDescent="0.25"/>
    <row r="141" ht="12.5" x14ac:dyDescent="0.25"/>
    <row r="142" ht="12.5" x14ac:dyDescent="0.25"/>
    <row r="143" ht="12.5" x14ac:dyDescent="0.25"/>
    <row r="144" ht="12.5" x14ac:dyDescent="0.25"/>
    <row r="145" ht="12.5" x14ac:dyDescent="0.25"/>
    <row r="146" ht="12.5" x14ac:dyDescent="0.25"/>
    <row r="147" ht="12.5" x14ac:dyDescent="0.25"/>
    <row r="148" ht="12.5" x14ac:dyDescent="0.25"/>
    <row r="149" ht="12.5" x14ac:dyDescent="0.25"/>
    <row r="150" ht="12.5" x14ac:dyDescent="0.25"/>
    <row r="151" ht="12.5" x14ac:dyDescent="0.25"/>
    <row r="152" ht="12.5" x14ac:dyDescent="0.25"/>
    <row r="153" ht="12.5" x14ac:dyDescent="0.25"/>
    <row r="154" ht="12.5" x14ac:dyDescent="0.25"/>
    <row r="155" ht="12.5" x14ac:dyDescent="0.25"/>
    <row r="156" ht="12.5" x14ac:dyDescent="0.25"/>
    <row r="157" ht="12.5" x14ac:dyDescent="0.25"/>
    <row r="158" ht="12.5" x14ac:dyDescent="0.25"/>
    <row r="159" ht="12.5" x14ac:dyDescent="0.25"/>
    <row r="160" ht="12.5" x14ac:dyDescent="0.25"/>
    <row r="161" ht="12.5" x14ac:dyDescent="0.25"/>
  </sheetData>
  <sheetProtection algorithmName="SHA-512" hashValue="lhEpjdgKM+2x4ClWpCsnVZ7Z3/TyNt3bNlS+h+KT9f9/04MQkK8peyXYx9fiQXhbzcT2DNFhvI7t/e2jAy1vtA==" saltValue="A4YUKC+d0xBq4rFOEKx6nw==" spinCount="100000" sheet="1" objects="1" scenarios="1"/>
  <mergeCells count="60">
    <mergeCell ref="B25:F25"/>
    <mergeCell ref="B26:F26"/>
    <mergeCell ref="A1:F1"/>
    <mergeCell ref="B3:F3"/>
    <mergeCell ref="B4:F4"/>
    <mergeCell ref="B5:F5"/>
    <mergeCell ref="B6:B7"/>
    <mergeCell ref="F6:H6"/>
    <mergeCell ref="C6:E6"/>
    <mergeCell ref="B27:F27"/>
    <mergeCell ref="B28:F28"/>
    <mergeCell ref="B29:F29"/>
    <mergeCell ref="B59:F59"/>
    <mergeCell ref="B35:C35"/>
    <mergeCell ref="B36:C36"/>
    <mergeCell ref="B37:C37"/>
    <mergeCell ref="B38:C38"/>
    <mergeCell ref="B39:C39"/>
    <mergeCell ref="B40:C40"/>
    <mergeCell ref="B34:C34"/>
    <mergeCell ref="B41:C41"/>
    <mergeCell ref="B42:C42"/>
    <mergeCell ref="B43:C43"/>
    <mergeCell ref="B44:C44"/>
    <mergeCell ref="B30:F30"/>
    <mergeCell ref="B75:F75"/>
    <mergeCell ref="B76:B77"/>
    <mergeCell ref="C76:C77"/>
    <mergeCell ref="D76:D77"/>
    <mergeCell ref="E76:E77"/>
    <mergeCell ref="F76:F77"/>
    <mergeCell ref="B61:F61"/>
    <mergeCell ref="B62:F62"/>
    <mergeCell ref="B63:F63"/>
    <mergeCell ref="B64:B65"/>
    <mergeCell ref="C64:C65"/>
    <mergeCell ref="D64:D65"/>
    <mergeCell ref="E64:E65"/>
    <mergeCell ref="F64:F65"/>
    <mergeCell ref="B101:F101"/>
    <mergeCell ref="B102:F102"/>
    <mergeCell ref="B103:E103"/>
    <mergeCell ref="B93:D93"/>
    <mergeCell ref="B94:D94"/>
    <mergeCell ref="B95:D95"/>
    <mergeCell ref="B96:D96"/>
    <mergeCell ref="B97:D97"/>
    <mergeCell ref="B98:D98"/>
    <mergeCell ref="B90:D90"/>
    <mergeCell ref="B91:D91"/>
    <mergeCell ref="B100:F100"/>
    <mergeCell ref="B92:D92"/>
    <mergeCell ref="B87:F87"/>
    <mergeCell ref="B88:D88"/>
    <mergeCell ref="B89:D89"/>
    <mergeCell ref="B31:F31"/>
    <mergeCell ref="B32:F32"/>
    <mergeCell ref="B33:F33"/>
    <mergeCell ref="B60:F60"/>
    <mergeCell ref="B58:F58"/>
  </mergeCells>
  <dataValidations count="1">
    <dataValidation type="whole" operator="greaterThanOrEqual" allowBlank="1" showInputMessage="1" showErrorMessage="1" sqref="C9:H11 C13:H13 C16:H18" xr:uid="{14D4AF8C-1B96-A84B-853C-115E3EE01A23}">
      <formula1>0</formula1>
    </dataValidation>
  </dataValidations>
  <hyperlinks>
    <hyperlink ref="B5:F5" r:id="rId1" display="Note: Report students formerly designated as “first professional” in the graduate cells. For information on reporting study abroad students please see this link. " xr:uid="{0DD6C03C-6456-B945-A3DB-470CCD0D8FAC}"/>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032EE-25AF-6745-9F9A-5F2D4557510D}">
  <dimension ref="A1:Z335"/>
  <sheetViews>
    <sheetView showGridLines="0" showRowColHeaders="0" tabSelected="1" topLeftCell="B21" zoomScaleNormal="100" workbookViewId="0">
      <selection activeCell="D34" sqref="D34"/>
    </sheetView>
  </sheetViews>
  <sheetFormatPr defaultColWidth="10.83203125" defaultRowHeight="15.5" x14ac:dyDescent="0.35"/>
  <cols>
    <col min="1" max="1" width="7.5" customWidth="1"/>
    <col min="2" max="2" width="90.33203125" customWidth="1"/>
    <col min="3" max="3" width="19.83203125" customWidth="1"/>
    <col min="4" max="4" width="18.83203125" customWidth="1"/>
    <col min="5" max="5" width="22.1640625" customWidth="1"/>
    <col min="6" max="6" width="26.1640625" customWidth="1"/>
    <col min="7" max="7" width="20" customWidth="1"/>
    <col min="8" max="8" width="31.6640625" hidden="1" customWidth="1"/>
    <col min="9" max="9" width="45.1640625" hidden="1" customWidth="1"/>
    <col min="10" max="15" width="10.83203125" hidden="1" customWidth="1"/>
    <col min="16" max="16" width="15.1640625" hidden="1" customWidth="1"/>
    <col min="17" max="17" width="16.33203125" hidden="1" customWidth="1"/>
    <col min="18" max="18" width="21.1640625" hidden="1" customWidth="1"/>
    <col min="19" max="19" width="16.33203125" hidden="1" customWidth="1"/>
    <col min="20" max="26" width="10.83203125" hidden="1" customWidth="1"/>
  </cols>
  <sheetData>
    <row r="1" spans="1:7" ht="18" x14ac:dyDescent="0.35">
      <c r="A1" s="697" t="s">
        <v>1298</v>
      </c>
      <c r="B1" s="698"/>
      <c r="C1" s="698"/>
      <c r="D1" s="698"/>
      <c r="E1" s="698"/>
      <c r="F1" s="698"/>
    </row>
    <row r="2" spans="1:7" ht="30" customHeight="1" x14ac:dyDescent="0.4">
      <c r="A2" s="289"/>
      <c r="B2" s="290" t="s">
        <v>726</v>
      </c>
      <c r="C2" s="291"/>
      <c r="D2" s="291"/>
      <c r="E2" s="291"/>
      <c r="F2" s="291"/>
    </row>
    <row r="3" spans="1:7" ht="38" customHeight="1" x14ac:dyDescent="0.35">
      <c r="A3" s="699" t="s">
        <v>725</v>
      </c>
      <c r="B3" s="687" t="s">
        <v>1847</v>
      </c>
      <c r="C3" s="701"/>
      <c r="D3" s="701"/>
      <c r="E3" s="701"/>
      <c r="F3" s="701"/>
    </row>
    <row r="4" spans="1:7" ht="6" customHeight="1" x14ac:dyDescent="0.35">
      <c r="A4" s="700"/>
      <c r="B4" s="701"/>
      <c r="C4" s="701"/>
      <c r="D4" s="701"/>
      <c r="E4" s="701"/>
      <c r="F4" s="701"/>
    </row>
    <row r="5" spans="1:7" ht="18.5" x14ac:dyDescent="0.35">
      <c r="A5" s="293"/>
      <c r="B5" s="688" t="s">
        <v>724</v>
      </c>
      <c r="C5" s="688"/>
      <c r="D5" s="688"/>
      <c r="E5" s="688"/>
      <c r="F5" s="688"/>
    </row>
    <row r="6" spans="1:7" ht="17.5" x14ac:dyDescent="0.35">
      <c r="A6" s="295"/>
      <c r="B6" s="688" t="s">
        <v>723</v>
      </c>
      <c r="C6" s="688"/>
      <c r="D6" s="688"/>
      <c r="E6" s="688"/>
      <c r="F6" s="688"/>
    </row>
    <row r="7" spans="1:7" ht="17.5" x14ac:dyDescent="0.35">
      <c r="A7" s="289"/>
      <c r="B7" s="693" t="s">
        <v>1299</v>
      </c>
      <c r="C7" s="693"/>
      <c r="D7" s="693"/>
      <c r="E7" s="693"/>
      <c r="F7" s="693"/>
    </row>
    <row r="8" spans="1:7" ht="20" customHeight="1" x14ac:dyDescent="0.35">
      <c r="A8" s="289"/>
      <c r="B8" s="688" t="s">
        <v>1288</v>
      </c>
      <c r="C8" s="688"/>
      <c r="D8" s="688"/>
      <c r="E8" s="688"/>
      <c r="F8" s="294"/>
    </row>
    <row r="9" spans="1:7" ht="37" customHeight="1" x14ac:dyDescent="0.35">
      <c r="A9" s="289"/>
      <c r="B9" s="688" t="s">
        <v>1343</v>
      </c>
      <c r="C9" s="688"/>
      <c r="D9" s="688"/>
      <c r="E9" s="688"/>
      <c r="F9" s="688"/>
    </row>
    <row r="10" spans="1:7" ht="17.5" x14ac:dyDescent="0.35">
      <c r="A10" s="289"/>
      <c r="B10" s="294"/>
      <c r="C10" s="294"/>
      <c r="D10" s="294"/>
      <c r="E10" s="294"/>
      <c r="F10" s="294"/>
    </row>
    <row r="11" spans="1:7" ht="18.5" x14ac:dyDescent="0.45">
      <c r="A11" s="292"/>
      <c r="B11" s="694" t="s">
        <v>1285</v>
      </c>
      <c r="C11" s="695"/>
      <c r="D11" s="696"/>
      <c r="E11" s="163">
        <v>631</v>
      </c>
      <c r="F11" s="291"/>
      <c r="G11" s="296"/>
    </row>
    <row r="12" spans="1:7" ht="18.5" x14ac:dyDescent="0.45">
      <c r="A12" s="292"/>
      <c r="B12" s="682" t="s">
        <v>1286</v>
      </c>
      <c r="C12" s="683"/>
      <c r="D12" s="684"/>
      <c r="E12" s="164">
        <v>725</v>
      </c>
      <c r="F12" s="291"/>
      <c r="G12" s="296"/>
    </row>
    <row r="13" spans="1:7" ht="18.5" x14ac:dyDescent="0.45">
      <c r="A13" s="292"/>
      <c r="B13" s="656" t="s">
        <v>1287</v>
      </c>
      <c r="C13" s="656"/>
      <c r="D13" s="656"/>
      <c r="E13" s="164">
        <v>19</v>
      </c>
      <c r="F13" s="291"/>
      <c r="G13" s="296"/>
    </row>
    <row r="14" spans="1:7" ht="18.5" x14ac:dyDescent="0.45">
      <c r="A14" s="292"/>
      <c r="B14" s="291"/>
      <c r="C14" s="297"/>
      <c r="D14" s="297"/>
      <c r="E14" s="291"/>
      <c r="F14" s="291"/>
      <c r="G14" s="296"/>
    </row>
    <row r="15" spans="1:7" ht="18.5" x14ac:dyDescent="0.45">
      <c r="A15" s="292"/>
      <c r="B15" s="682" t="s">
        <v>1290</v>
      </c>
      <c r="C15" s="683"/>
      <c r="D15" s="684"/>
      <c r="E15" s="164">
        <v>424</v>
      </c>
      <c r="F15" s="291"/>
      <c r="G15" s="296"/>
    </row>
    <row r="16" spans="1:7" ht="18.5" x14ac:dyDescent="0.45">
      <c r="A16" s="292"/>
      <c r="B16" s="682" t="s">
        <v>1291</v>
      </c>
      <c r="C16" s="683"/>
      <c r="D16" s="684"/>
      <c r="E16" s="164">
        <v>565</v>
      </c>
      <c r="F16" s="291"/>
      <c r="G16" s="296"/>
    </row>
    <row r="17" spans="1:7" ht="18.5" x14ac:dyDescent="0.45">
      <c r="A17" s="292"/>
      <c r="B17" s="692" t="s">
        <v>1289</v>
      </c>
      <c r="C17" s="692"/>
      <c r="D17" s="692"/>
      <c r="E17" s="164">
        <v>18</v>
      </c>
      <c r="F17" s="291"/>
      <c r="G17" s="296"/>
    </row>
    <row r="18" spans="1:7" ht="18.5" x14ac:dyDescent="0.45">
      <c r="A18" s="292"/>
      <c r="B18" s="291"/>
      <c r="C18" s="298"/>
      <c r="D18" s="298"/>
      <c r="E18" s="291"/>
      <c r="F18" s="291"/>
      <c r="G18" s="296"/>
    </row>
    <row r="19" spans="1:7" ht="18.5" x14ac:dyDescent="0.45">
      <c r="A19" s="292"/>
      <c r="B19" s="682" t="s">
        <v>1292</v>
      </c>
      <c r="C19" s="683"/>
      <c r="D19" s="684"/>
      <c r="E19" s="164">
        <v>86</v>
      </c>
      <c r="F19" s="291"/>
      <c r="G19" s="296"/>
    </row>
    <row r="20" spans="1:7" ht="18.5" x14ac:dyDescent="0.45">
      <c r="A20" s="292"/>
      <c r="B20" s="682" t="s">
        <v>1293</v>
      </c>
      <c r="C20" s="683"/>
      <c r="D20" s="684"/>
      <c r="E20" s="164">
        <v>0</v>
      </c>
      <c r="F20" s="291"/>
      <c r="G20" s="296"/>
    </row>
    <row r="21" spans="1:7" ht="18.5" x14ac:dyDescent="0.45">
      <c r="A21" s="292"/>
      <c r="B21" s="291"/>
      <c r="C21" s="298"/>
      <c r="D21" s="298"/>
      <c r="E21" s="291"/>
      <c r="F21" s="291"/>
      <c r="G21" s="296"/>
    </row>
    <row r="22" spans="1:7" ht="18.5" x14ac:dyDescent="0.45">
      <c r="A22" s="292"/>
      <c r="B22" s="685" t="s">
        <v>1294</v>
      </c>
      <c r="C22" s="683"/>
      <c r="D22" s="684"/>
      <c r="E22" s="164">
        <v>82</v>
      </c>
      <c r="F22" s="291"/>
      <c r="G22" s="296"/>
    </row>
    <row r="23" spans="1:7" ht="18.5" x14ac:dyDescent="0.45">
      <c r="A23" s="292"/>
      <c r="B23" s="682" t="s">
        <v>1295</v>
      </c>
      <c r="C23" s="683"/>
      <c r="D23" s="684"/>
      <c r="E23" s="164">
        <v>0</v>
      </c>
      <c r="F23" s="291"/>
      <c r="G23" s="296"/>
    </row>
    <row r="24" spans="1:7" ht="18.5" x14ac:dyDescent="0.45">
      <c r="A24" s="289"/>
      <c r="B24" s="291"/>
      <c r="C24" s="291"/>
      <c r="D24" s="291"/>
      <c r="E24" s="291"/>
      <c r="F24" s="291"/>
      <c r="G24" s="296"/>
    </row>
    <row r="25" spans="1:7" ht="18.5" x14ac:dyDescent="0.45">
      <c r="A25" s="289"/>
      <c r="B25" s="656" t="s">
        <v>1296</v>
      </c>
      <c r="C25" s="656"/>
      <c r="D25" s="656"/>
      <c r="E25" s="164">
        <v>4</v>
      </c>
      <c r="F25" s="291"/>
      <c r="G25" s="296"/>
    </row>
    <row r="26" spans="1:7" ht="18.5" x14ac:dyDescent="0.45">
      <c r="A26" s="289"/>
      <c r="B26" s="656" t="s">
        <v>1297</v>
      </c>
      <c r="C26" s="656"/>
      <c r="D26" s="656"/>
      <c r="E26" s="164">
        <v>0</v>
      </c>
      <c r="F26" s="291"/>
      <c r="G26" s="296"/>
    </row>
    <row r="27" spans="1:7" ht="18.5" x14ac:dyDescent="0.45">
      <c r="A27" s="289"/>
      <c r="B27" s="291"/>
      <c r="C27" s="291"/>
      <c r="D27" s="291"/>
      <c r="E27" s="291"/>
      <c r="F27" s="291"/>
      <c r="G27" s="296"/>
    </row>
    <row r="28" spans="1:7" ht="18.5" x14ac:dyDescent="0.45">
      <c r="A28" s="289"/>
      <c r="B28" s="685" t="s">
        <v>722</v>
      </c>
      <c r="C28" s="683"/>
      <c r="D28" s="684"/>
      <c r="E28" s="164">
        <v>1375</v>
      </c>
      <c r="F28" s="291"/>
      <c r="G28" s="296"/>
    </row>
    <row r="29" spans="1:7" ht="18.5" x14ac:dyDescent="0.45">
      <c r="A29" s="289"/>
      <c r="B29" s="685" t="s">
        <v>721</v>
      </c>
      <c r="C29" s="683"/>
      <c r="D29" s="684"/>
      <c r="E29" s="164">
        <v>1007</v>
      </c>
      <c r="F29" s="291"/>
      <c r="G29" s="296"/>
    </row>
    <row r="30" spans="1:7" ht="18.5" x14ac:dyDescent="0.45">
      <c r="A30" s="289"/>
      <c r="B30" s="685" t="s">
        <v>720</v>
      </c>
      <c r="C30" s="683"/>
      <c r="D30" s="684"/>
      <c r="E30" s="164">
        <v>173</v>
      </c>
      <c r="F30" s="291"/>
      <c r="G30" s="296"/>
    </row>
    <row r="31" spans="1:7" ht="18.5" x14ac:dyDescent="0.45">
      <c r="A31" s="289"/>
      <c r="B31" s="291"/>
      <c r="C31" s="291"/>
      <c r="D31" s="291"/>
      <c r="E31" s="291"/>
      <c r="F31" s="291"/>
      <c r="G31" s="296"/>
    </row>
    <row r="32" spans="1:7" ht="18.5" x14ac:dyDescent="0.45">
      <c r="A32" s="292" t="s">
        <v>719</v>
      </c>
      <c r="B32" s="686" t="s">
        <v>1300</v>
      </c>
      <c r="C32" s="687"/>
      <c r="D32" s="687"/>
      <c r="E32" s="687"/>
      <c r="F32" s="658"/>
      <c r="G32" s="296"/>
    </row>
    <row r="33" spans="1:8" ht="18.5" x14ac:dyDescent="0.45">
      <c r="A33" s="292"/>
      <c r="B33" s="688" t="s">
        <v>718</v>
      </c>
      <c r="C33" s="688"/>
      <c r="D33" s="688"/>
      <c r="E33" s="688"/>
      <c r="F33" s="688"/>
      <c r="G33" s="296"/>
    </row>
    <row r="34" spans="1:8" ht="18.5" x14ac:dyDescent="0.45">
      <c r="A34" s="292"/>
      <c r="B34" s="294"/>
      <c r="C34" s="294"/>
      <c r="D34" s="294"/>
      <c r="E34" s="294"/>
      <c r="F34" s="294"/>
      <c r="G34" s="296"/>
    </row>
    <row r="35" spans="1:8" ht="18.5" x14ac:dyDescent="0.45">
      <c r="A35" s="292"/>
      <c r="B35" s="299"/>
      <c r="C35" s="291"/>
      <c r="D35" s="300"/>
      <c r="E35" s="300"/>
      <c r="F35" s="291"/>
      <c r="G35" s="296"/>
    </row>
    <row r="36" spans="1:8" ht="30" customHeight="1" x14ac:dyDescent="0.45">
      <c r="A36" s="292"/>
      <c r="B36" s="689" t="s">
        <v>717</v>
      </c>
      <c r="C36" s="689"/>
      <c r="D36" s="301" t="s">
        <v>1108</v>
      </c>
      <c r="E36" s="164" t="s">
        <v>144</v>
      </c>
      <c r="F36" s="291"/>
      <c r="G36" s="296"/>
      <c r="H36" t="str" cm="1">
        <f t="array" ref="H36">_xlfn.IFS($E$36="YES", "Yes", $E$36="yes", "Yes", $E$36="Yes", "Yes", $E$36="NO", "No", $E$36="no", "No", $E$36="No", "No")</f>
        <v>No</v>
      </c>
    </row>
    <row r="37" spans="1:8" ht="18.5" x14ac:dyDescent="0.45">
      <c r="A37" s="292"/>
      <c r="B37" s="302"/>
      <c r="C37" s="302"/>
      <c r="D37" s="300"/>
      <c r="E37" s="300"/>
      <c r="F37" s="291"/>
      <c r="G37" s="296"/>
    </row>
    <row r="38" spans="1:8" ht="18.5" x14ac:dyDescent="0.45">
      <c r="A38" s="292"/>
      <c r="B38" s="690" t="s">
        <v>1848</v>
      </c>
      <c r="C38" s="690"/>
      <c r="D38" s="690"/>
      <c r="E38" s="291"/>
      <c r="F38" s="298"/>
      <c r="G38" s="296"/>
    </row>
    <row r="39" spans="1:8" ht="18.5" x14ac:dyDescent="0.45">
      <c r="A39" s="292"/>
      <c r="B39" s="303"/>
      <c r="C39" s="303"/>
      <c r="D39" s="303"/>
      <c r="E39" s="304"/>
      <c r="F39" s="298"/>
      <c r="G39" s="296"/>
    </row>
    <row r="40" spans="1:8" ht="18.5" x14ac:dyDescent="0.45">
      <c r="A40" s="292"/>
      <c r="B40" s="691" t="s">
        <v>716</v>
      </c>
      <c r="C40" s="691"/>
      <c r="D40" s="691"/>
      <c r="E40" s="305" t="s">
        <v>341</v>
      </c>
      <c r="F40" s="298"/>
      <c r="G40" s="296"/>
    </row>
    <row r="41" spans="1:8" ht="18.5" x14ac:dyDescent="0.45">
      <c r="A41" s="292"/>
      <c r="B41" s="682" t="s">
        <v>715</v>
      </c>
      <c r="C41" s="683"/>
      <c r="D41" s="684"/>
      <c r="E41" s="164" t="s">
        <v>582</v>
      </c>
      <c r="F41" s="298"/>
      <c r="G41" s="296"/>
    </row>
    <row r="42" spans="1:8" ht="18.5" x14ac:dyDescent="0.45">
      <c r="A42" s="292"/>
      <c r="B42" s="656" t="s">
        <v>714</v>
      </c>
      <c r="C42" s="656"/>
      <c r="D42" s="656"/>
      <c r="E42" s="164" t="s">
        <v>582</v>
      </c>
      <c r="F42" s="298"/>
      <c r="G42" s="296"/>
    </row>
    <row r="43" spans="1:8" ht="18.5" x14ac:dyDescent="0.45">
      <c r="A43" s="292"/>
      <c r="B43" s="656" t="s">
        <v>1896</v>
      </c>
      <c r="C43" s="656"/>
      <c r="D43" s="656"/>
      <c r="E43" s="164" t="s">
        <v>582</v>
      </c>
      <c r="F43" s="291"/>
      <c r="G43" s="296"/>
    </row>
    <row r="44" spans="1:8" ht="18.5" x14ac:dyDescent="0.45">
      <c r="A44" s="292"/>
      <c r="B44" s="657"/>
      <c r="C44" s="658"/>
      <c r="D44" s="658"/>
      <c r="E44" s="306"/>
      <c r="F44" s="300"/>
      <c r="G44" s="296"/>
    </row>
    <row r="45" spans="1:8" ht="30" customHeight="1" x14ac:dyDescent="0.45">
      <c r="A45" s="292"/>
      <c r="B45" s="307" t="s">
        <v>713</v>
      </c>
      <c r="C45" s="291"/>
      <c r="D45" s="301" t="s">
        <v>1108</v>
      </c>
      <c r="E45" s="164" t="s">
        <v>582</v>
      </c>
      <c r="F45" s="291"/>
      <c r="G45" s="296"/>
      <c r="H45" t="e" cm="1">
        <f t="array" ref="H45">_xlfn.IFS($E$45="YES", "Yes", $E$45="yes", "Yes", $E$45="Yes", "Yes", $E$45="NO", "No", $E$45="no", "No", $E$45="No", "No")</f>
        <v>#N/A</v>
      </c>
    </row>
    <row r="46" spans="1:8" ht="30" customHeight="1" x14ac:dyDescent="0.45">
      <c r="A46" s="292"/>
      <c r="B46" s="659" t="s">
        <v>712</v>
      </c>
      <c r="C46" s="659"/>
      <c r="D46" s="301" t="s">
        <v>1108</v>
      </c>
      <c r="E46" s="186" t="s">
        <v>582</v>
      </c>
      <c r="F46" s="291"/>
      <c r="G46" s="296"/>
      <c r="H46" t="e" cm="1">
        <f t="array" ref="H46">_xlfn.IFS($E$46="YES", "Yes", $E$46="yes", "Yes", $E$46="Yes", "Yes", $E$46="NO", "No", $E$46="no", "No", $E$46="No", "No")</f>
        <v>#N/A</v>
      </c>
    </row>
    <row r="47" spans="1:8" ht="30" customHeight="1" x14ac:dyDescent="0.45">
      <c r="A47" s="292"/>
      <c r="B47" s="659" t="s">
        <v>711</v>
      </c>
      <c r="C47" s="659"/>
      <c r="D47" s="301" t="s">
        <v>1108</v>
      </c>
      <c r="E47" s="164" t="s">
        <v>582</v>
      </c>
      <c r="F47" s="291"/>
      <c r="G47" s="296"/>
      <c r="H47" t="e" cm="1">
        <f t="array" ref="H47">_xlfn.IFS($E$47="YES", "Yes", $E$47="yes", "Yes", $E$47="Yes", "Yes", $E$47="NO", "No", $E$47="no", "No", $E$47="No", "No")</f>
        <v>#N/A</v>
      </c>
    </row>
    <row r="48" spans="1:8" ht="18.5" x14ac:dyDescent="0.45">
      <c r="A48" s="289"/>
      <c r="B48" s="291"/>
      <c r="C48" s="291"/>
      <c r="D48" s="291"/>
      <c r="E48" s="291"/>
      <c r="F48" s="291"/>
      <c r="G48" s="296"/>
    </row>
    <row r="49" spans="1:7" ht="26" customHeight="1" x14ac:dyDescent="0.45">
      <c r="A49" s="292"/>
      <c r="B49" s="290" t="s">
        <v>710</v>
      </c>
      <c r="C49" s="291"/>
      <c r="D49" s="291"/>
      <c r="E49" s="291"/>
      <c r="F49" s="291"/>
      <c r="G49" s="296"/>
    </row>
    <row r="50" spans="1:7" ht="28" customHeight="1" x14ac:dyDescent="0.45">
      <c r="A50" s="292" t="s">
        <v>709</v>
      </c>
      <c r="B50" s="290" t="s">
        <v>708</v>
      </c>
      <c r="C50" s="291"/>
      <c r="D50" s="291"/>
      <c r="E50" s="291"/>
      <c r="F50" s="291"/>
      <c r="G50" s="296"/>
    </row>
    <row r="51" spans="1:7" ht="50" customHeight="1" x14ac:dyDescent="0.45">
      <c r="A51" s="292"/>
      <c r="B51" s="308" t="s">
        <v>1224</v>
      </c>
      <c r="C51" s="308"/>
      <c r="D51" s="308"/>
      <c r="E51" s="291"/>
      <c r="F51" s="291"/>
      <c r="G51" s="296"/>
    </row>
    <row r="52" spans="1:7" ht="30" customHeight="1" x14ac:dyDescent="0.35">
      <c r="B52" s="308"/>
      <c r="D52" s="308"/>
      <c r="F52" s="403" t="s">
        <v>707</v>
      </c>
      <c r="G52" s="185">
        <v>1</v>
      </c>
    </row>
    <row r="53" spans="1:7" ht="17.5" x14ac:dyDescent="0.35">
      <c r="B53" s="310"/>
      <c r="C53" s="310"/>
      <c r="D53" s="310"/>
      <c r="F53" s="403" t="s">
        <v>706</v>
      </c>
    </row>
    <row r="54" spans="1:7" ht="17.5" x14ac:dyDescent="0.35">
      <c r="B54" s="310"/>
      <c r="C54" s="310"/>
      <c r="D54" s="310"/>
      <c r="F54" s="403" t="s">
        <v>705</v>
      </c>
    </row>
    <row r="55" spans="1:7" x14ac:dyDescent="0.35">
      <c r="F55" s="309"/>
    </row>
    <row r="56" spans="1:7" ht="17.5" x14ac:dyDescent="0.35">
      <c r="B56" s="655"/>
      <c r="C56" s="655"/>
      <c r="D56" s="655"/>
    </row>
    <row r="58" spans="1:7" ht="17.5" x14ac:dyDescent="0.35">
      <c r="A58" s="289"/>
      <c r="B58" s="291"/>
      <c r="C58" s="291"/>
      <c r="D58" s="291"/>
      <c r="E58" s="291"/>
      <c r="F58" s="291"/>
    </row>
    <row r="59" spans="1:7" ht="18" x14ac:dyDescent="0.35">
      <c r="A59" s="292" t="s">
        <v>704</v>
      </c>
      <c r="B59" s="660" t="s">
        <v>703</v>
      </c>
      <c r="C59" s="660"/>
      <c r="D59" s="660"/>
      <c r="E59" s="660"/>
      <c r="F59" s="658"/>
    </row>
    <row r="60" spans="1:7" x14ac:dyDescent="0.35">
      <c r="F60" s="403" t="s">
        <v>702</v>
      </c>
      <c r="G60" s="185">
        <v>3</v>
      </c>
    </row>
    <row r="61" spans="1:7" ht="31" customHeight="1" x14ac:dyDescent="0.35">
      <c r="F61" s="403" t="s">
        <v>701</v>
      </c>
    </row>
    <row r="62" spans="1:7" x14ac:dyDescent="0.35">
      <c r="F62" s="403" t="s">
        <v>700</v>
      </c>
    </row>
    <row r="63" spans="1:7" ht="18" x14ac:dyDescent="0.4">
      <c r="A63" s="535" t="s">
        <v>1934</v>
      </c>
      <c r="B63" s="666" t="s">
        <v>1935</v>
      </c>
      <c r="C63" s="666"/>
      <c r="D63" s="666"/>
      <c r="E63" s="666"/>
      <c r="F63" s="666"/>
    </row>
    <row r="64" spans="1:7" x14ac:dyDescent="0.35">
      <c r="A64" s="536"/>
      <c r="B64" s="666"/>
      <c r="C64" s="666"/>
      <c r="D64" s="666"/>
      <c r="E64" s="666"/>
      <c r="F64" s="666"/>
    </row>
    <row r="65" spans="1:6" ht="11" customHeight="1" x14ac:dyDescent="0.35">
      <c r="A65" s="536"/>
      <c r="B65" s="666"/>
      <c r="C65" s="666"/>
      <c r="D65" s="666"/>
      <c r="E65" s="666"/>
      <c r="F65" s="666"/>
    </row>
    <row r="66" spans="1:6" ht="35" customHeight="1" x14ac:dyDescent="0.35">
      <c r="B66" s="537"/>
      <c r="C66" s="538" t="s">
        <v>1944</v>
      </c>
      <c r="D66" s="538" t="s">
        <v>1945</v>
      </c>
      <c r="F66" s="403"/>
    </row>
    <row r="67" spans="1:6" ht="19" customHeight="1" x14ac:dyDescent="0.35">
      <c r="B67" s="539" t="s">
        <v>1936</v>
      </c>
      <c r="C67" s="541" t="s">
        <v>582</v>
      </c>
      <c r="D67" s="541" t="s">
        <v>582</v>
      </c>
      <c r="F67" s="403"/>
    </row>
    <row r="68" spans="1:6" ht="19" customHeight="1" x14ac:dyDescent="0.35">
      <c r="B68" s="539" t="s">
        <v>270</v>
      </c>
      <c r="C68" s="541">
        <v>4</v>
      </c>
      <c r="D68" s="541">
        <v>4</v>
      </c>
      <c r="F68" s="403"/>
    </row>
    <row r="69" spans="1:6" ht="19" customHeight="1" x14ac:dyDescent="0.35">
      <c r="B69" s="539" t="s">
        <v>598</v>
      </c>
      <c r="C69" s="541">
        <v>3</v>
      </c>
      <c r="D69" s="541">
        <v>4</v>
      </c>
      <c r="F69" s="403"/>
    </row>
    <row r="70" spans="1:6" ht="19" customHeight="1" x14ac:dyDescent="0.35">
      <c r="B70" s="539" t="s">
        <v>1937</v>
      </c>
      <c r="C70" s="541">
        <v>3</v>
      </c>
      <c r="D70" s="541">
        <v>4</v>
      </c>
      <c r="F70" s="403"/>
    </row>
    <row r="71" spans="1:6" ht="19" customHeight="1" x14ac:dyDescent="0.35">
      <c r="B71" s="539" t="s">
        <v>1938</v>
      </c>
      <c r="C71" s="541">
        <v>2</v>
      </c>
      <c r="D71" s="541">
        <v>2</v>
      </c>
      <c r="F71" s="403"/>
    </row>
    <row r="72" spans="1:6" ht="19" customHeight="1" x14ac:dyDescent="0.35">
      <c r="B72" s="539" t="s">
        <v>1939</v>
      </c>
      <c r="C72" s="541">
        <v>2</v>
      </c>
      <c r="D72" s="541">
        <v>2</v>
      </c>
      <c r="F72" s="403"/>
    </row>
    <row r="73" spans="1:6" ht="19" customHeight="1" x14ac:dyDescent="0.35">
      <c r="B73" s="539" t="s">
        <v>1940</v>
      </c>
      <c r="C73" s="541">
        <v>2</v>
      </c>
      <c r="D73" s="541">
        <v>2</v>
      </c>
      <c r="F73" s="403"/>
    </row>
    <row r="74" spans="1:6" ht="19" customHeight="1" x14ac:dyDescent="0.35">
      <c r="B74" s="539" t="s">
        <v>246</v>
      </c>
      <c r="C74" s="541" t="s">
        <v>582</v>
      </c>
      <c r="D74" s="541" t="s">
        <v>582</v>
      </c>
      <c r="F74" s="403"/>
    </row>
    <row r="75" spans="1:6" ht="19" customHeight="1" x14ac:dyDescent="0.35">
      <c r="B75" s="539" t="s">
        <v>1941</v>
      </c>
      <c r="C75" s="541" t="s">
        <v>582</v>
      </c>
      <c r="D75" s="541" t="s">
        <v>582</v>
      </c>
      <c r="F75" s="403"/>
    </row>
    <row r="76" spans="1:6" ht="19" customHeight="1" x14ac:dyDescent="0.35">
      <c r="B76" s="539" t="s">
        <v>1942</v>
      </c>
      <c r="C76" s="541" t="s">
        <v>582</v>
      </c>
      <c r="D76" s="541" t="s">
        <v>582</v>
      </c>
      <c r="F76" s="403"/>
    </row>
    <row r="77" spans="1:6" ht="19" customHeight="1" x14ac:dyDescent="0.35">
      <c r="B77" s="539" t="s">
        <v>1943</v>
      </c>
      <c r="C77" s="541" t="s">
        <v>582</v>
      </c>
      <c r="D77" s="541" t="s">
        <v>582</v>
      </c>
      <c r="F77" s="403"/>
    </row>
    <row r="78" spans="1:6" ht="19" customHeight="1" x14ac:dyDescent="0.35">
      <c r="B78" s="539" t="s">
        <v>188</v>
      </c>
      <c r="C78" s="542" t="s">
        <v>582</v>
      </c>
      <c r="D78" s="542" t="s">
        <v>582</v>
      </c>
      <c r="F78" s="403"/>
    </row>
    <row r="79" spans="1:6" ht="19" customHeight="1" x14ac:dyDescent="0.35">
      <c r="B79" s="540"/>
      <c r="C79" s="536"/>
      <c r="D79" s="536"/>
      <c r="F79" s="403"/>
    </row>
    <row r="81" spans="1:11" ht="31" customHeight="1" x14ac:dyDescent="0.35">
      <c r="A81" s="311"/>
      <c r="B81" s="312" t="s">
        <v>1301</v>
      </c>
      <c r="C81" s="313"/>
      <c r="D81" s="313"/>
      <c r="E81" s="313"/>
      <c r="F81" s="313"/>
      <c r="G81" s="313"/>
    </row>
    <row r="82" spans="1:11" ht="38" customHeight="1" x14ac:dyDescent="0.35">
      <c r="A82" s="314" t="s">
        <v>1302</v>
      </c>
      <c r="B82" s="661" t="s">
        <v>1303</v>
      </c>
      <c r="C82" s="662"/>
      <c r="D82" s="662"/>
      <c r="E82" s="662"/>
      <c r="F82" s="663"/>
      <c r="G82" s="313"/>
    </row>
    <row r="83" spans="1:11" ht="17" customHeight="1" x14ac:dyDescent="0.35">
      <c r="A83" s="288"/>
      <c r="B83" s="664" t="s">
        <v>1304</v>
      </c>
      <c r="C83" s="665"/>
      <c r="D83" s="665"/>
      <c r="E83" s="318"/>
      <c r="F83" s="319"/>
      <c r="G83" s="313"/>
      <c r="H83" s="404"/>
      <c r="K83" t="e" cm="1">
        <f t="array" ref="K83">_xlfn.IFS(H83=1, "Open admission policy as described above for all students", H83=2, "Open admission policy as described above for most students, but selective admission for out-of-state students", H83=3, "Open admission policy as described above for most students, but selective admission to some programs", H83=4, "Other")</f>
        <v>#N/A</v>
      </c>
    </row>
    <row r="84" spans="1:11" ht="17" customHeight="1" x14ac:dyDescent="0.35">
      <c r="A84" s="314"/>
      <c r="B84" s="643" t="s">
        <v>1305</v>
      </c>
      <c r="C84" s="643"/>
      <c r="D84" s="643"/>
      <c r="E84" s="318"/>
      <c r="F84" s="319"/>
      <c r="G84" s="313"/>
      <c r="H84" s="404"/>
    </row>
    <row r="85" spans="1:11" ht="17" customHeight="1" x14ac:dyDescent="0.35">
      <c r="A85" s="288"/>
      <c r="B85" s="627" t="s">
        <v>1306</v>
      </c>
      <c r="C85" s="627"/>
      <c r="D85" s="627"/>
      <c r="E85" s="318"/>
      <c r="F85" s="319"/>
      <c r="G85" s="313"/>
      <c r="H85" s="404"/>
    </row>
    <row r="86" spans="1:11" ht="17" customHeight="1" x14ac:dyDescent="0.35">
      <c r="A86" s="288"/>
      <c r="B86" s="627" t="s">
        <v>1307</v>
      </c>
      <c r="C86" s="627"/>
      <c r="D86" s="627"/>
      <c r="E86" s="318"/>
      <c r="F86" s="319"/>
      <c r="G86" s="313"/>
      <c r="H86" s="404"/>
    </row>
    <row r="87" spans="1:11" ht="17" customHeight="1" x14ac:dyDescent="0.35">
      <c r="A87" s="288"/>
      <c r="B87" s="321" t="s">
        <v>1308</v>
      </c>
      <c r="C87" s="322"/>
      <c r="D87" s="322"/>
      <c r="E87" s="323"/>
      <c r="F87" s="319"/>
      <c r="G87" s="313"/>
      <c r="H87" s="404"/>
    </row>
    <row r="88" spans="1:11" ht="25" customHeight="1" x14ac:dyDescent="0.35">
      <c r="A88" s="311"/>
      <c r="B88" s="628" t="s">
        <v>582</v>
      </c>
      <c r="C88" s="628"/>
      <c r="D88" s="628"/>
      <c r="E88" s="628"/>
      <c r="F88" s="628"/>
      <c r="G88" s="313"/>
    </row>
    <row r="89" spans="1:11" x14ac:dyDescent="0.35">
      <c r="A89" s="311"/>
      <c r="B89" s="313"/>
      <c r="C89" s="313"/>
      <c r="D89" s="313"/>
      <c r="E89" s="313"/>
      <c r="F89" s="313"/>
      <c r="G89" s="313"/>
    </row>
    <row r="90" spans="1:11" ht="46" customHeight="1" x14ac:dyDescent="0.35">
      <c r="A90" s="324" t="s">
        <v>1309</v>
      </c>
      <c r="B90" s="629" t="s">
        <v>1478</v>
      </c>
      <c r="C90" s="629"/>
      <c r="D90" s="629"/>
      <c r="E90" s="629"/>
      <c r="F90" s="630"/>
      <c r="G90" s="325"/>
    </row>
    <row r="91" spans="1:11" ht="20" customHeight="1" x14ac:dyDescent="0.35">
      <c r="A91" s="326"/>
      <c r="B91" s="327"/>
      <c r="C91" s="328" t="s">
        <v>1310</v>
      </c>
      <c r="D91" s="328" t="s">
        <v>1311</v>
      </c>
      <c r="E91" s="328" t="s">
        <v>1312</v>
      </c>
      <c r="F91" s="328" t="s">
        <v>1313</v>
      </c>
      <c r="G91" s="325"/>
    </row>
    <row r="92" spans="1:11" ht="20" customHeight="1" x14ac:dyDescent="0.35">
      <c r="A92" s="326"/>
      <c r="B92" s="329" t="s">
        <v>1314</v>
      </c>
      <c r="C92" s="329"/>
      <c r="D92" s="329"/>
      <c r="E92" s="329"/>
      <c r="F92" s="329"/>
      <c r="G92" s="325"/>
    </row>
    <row r="93" spans="1:11" ht="20" customHeight="1" x14ac:dyDescent="0.35">
      <c r="A93" s="326"/>
      <c r="B93" s="330" t="s">
        <v>1315</v>
      </c>
      <c r="C93" s="331"/>
      <c r="D93" s="331"/>
      <c r="E93" s="331"/>
      <c r="F93" s="331"/>
      <c r="G93" s="325"/>
      <c r="H93" s="162">
        <v>1</v>
      </c>
      <c r="I93" t="str" cm="1">
        <f t="array" ref="I93">_xlfn.IFS($H$93=1,"Very important",$H$93=2,"Important",$H$93=3,"Considered",$H$93=4,"Not considered")</f>
        <v>Very important</v>
      </c>
    </row>
    <row r="94" spans="1:11" ht="20" customHeight="1" x14ac:dyDescent="0.35">
      <c r="A94" s="326"/>
      <c r="B94" s="332" t="s">
        <v>1316</v>
      </c>
      <c r="C94" s="331"/>
      <c r="D94" s="331"/>
      <c r="E94" s="331"/>
      <c r="F94" s="331"/>
      <c r="G94" s="325"/>
      <c r="H94" s="162">
        <v>3</v>
      </c>
      <c r="I94" t="str" cm="1">
        <f t="array" ref="I94">_xlfn.IFS($H$94=1,"Very important",$H$94=2,"Important",$H$94=3,"Considered",$H$94=4,"Not considered")</f>
        <v>Considered</v>
      </c>
    </row>
    <row r="95" spans="1:11" ht="20" customHeight="1" x14ac:dyDescent="0.35">
      <c r="A95" s="326"/>
      <c r="B95" s="333" t="s">
        <v>1317</v>
      </c>
      <c r="C95" s="331"/>
      <c r="D95" s="331"/>
      <c r="E95" s="331"/>
      <c r="F95" s="331"/>
      <c r="G95" s="325"/>
      <c r="H95" s="162">
        <v>1</v>
      </c>
      <c r="I95" t="str" cm="1">
        <f t="array" ref="I95">_xlfn.IFS($H$95=1,"Very important",$H$95=2,"Important",$H$95=3,"Considered",$H$95=4,"Not considered")</f>
        <v>Very important</v>
      </c>
    </row>
    <row r="96" spans="1:11" ht="20" customHeight="1" x14ac:dyDescent="0.35">
      <c r="A96" s="326"/>
      <c r="B96" s="332" t="s">
        <v>485</v>
      </c>
      <c r="C96" s="331"/>
      <c r="D96" s="331"/>
      <c r="E96" s="331"/>
      <c r="F96" s="331"/>
      <c r="G96" s="325"/>
      <c r="H96" s="162">
        <v>3</v>
      </c>
      <c r="I96" t="str" cm="1">
        <f t="array" ref="I96">_xlfn.IFS($H$96=1,"Very important",$H$96=2,"Important",$H$96=3,"Considered",$H$96=4,"Not considered")</f>
        <v>Considered</v>
      </c>
    </row>
    <row r="97" spans="1:9" ht="20" customHeight="1" x14ac:dyDescent="0.35">
      <c r="A97" s="326"/>
      <c r="B97" s="332" t="s">
        <v>1318</v>
      </c>
      <c r="C97" s="331"/>
      <c r="D97" s="331"/>
      <c r="E97" s="331"/>
      <c r="F97" s="331"/>
      <c r="G97" s="325"/>
      <c r="H97" s="162">
        <v>2</v>
      </c>
      <c r="I97" t="str" cm="1">
        <f t="array" ref="I97">_xlfn.IFS($H$97=1,"Very important",$H$97=2,"Important",$H$97=3,"Considered",$H$97=4,"Not considered")</f>
        <v>Important</v>
      </c>
    </row>
    <row r="98" spans="1:9" ht="20" customHeight="1" x14ac:dyDescent="0.35">
      <c r="A98" s="326"/>
      <c r="B98" s="332" t="s">
        <v>1319</v>
      </c>
      <c r="C98" s="331"/>
      <c r="D98" s="331"/>
      <c r="E98" s="331"/>
      <c r="F98" s="331"/>
      <c r="G98" s="325"/>
      <c r="H98" s="162">
        <v>3</v>
      </c>
      <c r="I98" t="str" cm="1">
        <f t="array" ref="I98">_xlfn.IFS($H$98=1,"Very important",$H$98=2,"Important",$H$98=3,"Considered",$H$98=4,"Not considered")</f>
        <v>Considered</v>
      </c>
    </row>
    <row r="99" spans="1:9" ht="20" customHeight="1" x14ac:dyDescent="0.35">
      <c r="A99" s="326"/>
      <c r="B99" s="329" t="s">
        <v>1320</v>
      </c>
      <c r="C99" s="329"/>
      <c r="D99" s="329"/>
      <c r="E99" s="329"/>
      <c r="F99" s="329"/>
      <c r="G99" s="325"/>
      <c r="H99" s="162"/>
    </row>
    <row r="100" spans="1:9" ht="20" customHeight="1" x14ac:dyDescent="0.35">
      <c r="A100" s="326"/>
      <c r="B100" s="332" t="s">
        <v>486</v>
      </c>
      <c r="C100" s="331"/>
      <c r="D100" s="331"/>
      <c r="E100" s="331"/>
      <c r="F100" s="331"/>
      <c r="G100" s="325"/>
      <c r="H100" s="162">
        <v>3</v>
      </c>
      <c r="I100" t="str" cm="1">
        <f t="array" ref="I100">_xlfn.IFS($H$100=1,"Very important",$H$100=2,"Important",$H$100=3,"Considered",$H$100=4,"Not considered")</f>
        <v>Considered</v>
      </c>
    </row>
    <row r="101" spans="1:9" ht="20" customHeight="1" x14ac:dyDescent="0.35">
      <c r="A101" s="326"/>
      <c r="B101" s="332" t="s">
        <v>1321</v>
      </c>
      <c r="C101" s="331"/>
      <c r="D101" s="331"/>
      <c r="E101" s="331"/>
      <c r="F101" s="331"/>
      <c r="G101" s="325"/>
      <c r="H101" s="162">
        <v>2</v>
      </c>
      <c r="I101" t="str" cm="1">
        <f t="array" ref="I101">_xlfn.IFS($H$101=1,"Very important",$H$101=2,"Important",$H$101=3,"Considered",$H$101=4,"Not considered")</f>
        <v>Important</v>
      </c>
    </row>
    <row r="102" spans="1:9" ht="20" customHeight="1" x14ac:dyDescent="0.35">
      <c r="A102" s="326"/>
      <c r="B102" s="332" t="s">
        <v>1322</v>
      </c>
      <c r="C102" s="331"/>
      <c r="D102" s="331"/>
      <c r="E102" s="331"/>
      <c r="F102" s="331"/>
      <c r="G102" s="325"/>
      <c r="H102" s="162">
        <v>2</v>
      </c>
      <c r="I102" t="str" cm="1">
        <f t="array" ref="I102">_xlfn.IFS($H$102=1,"Very important",$H$102=2,"Important",$H$102=3,"Considered",$H$102=4,"Not considered")</f>
        <v>Important</v>
      </c>
    </row>
    <row r="103" spans="1:9" ht="20" customHeight="1" x14ac:dyDescent="0.35">
      <c r="A103" s="326"/>
      <c r="B103" s="332" t="s">
        <v>1323</v>
      </c>
      <c r="C103" s="331"/>
      <c r="D103" s="331"/>
      <c r="E103" s="331"/>
      <c r="F103" s="331"/>
      <c r="G103" s="325"/>
      <c r="H103" s="162">
        <v>2</v>
      </c>
      <c r="I103" t="str" cm="1">
        <f t="array" ref="I103">_xlfn.IFS($H$103=1,"Very important",$H$103=2,"Important",$H$103=3,"Considered",$H$103=4,"Not considered")</f>
        <v>Important</v>
      </c>
    </row>
    <row r="104" spans="1:9" ht="20" customHeight="1" x14ac:dyDescent="0.35">
      <c r="A104" s="326"/>
      <c r="B104" s="332" t="s">
        <v>1324</v>
      </c>
      <c r="C104" s="331"/>
      <c r="D104" s="331"/>
      <c r="E104" s="331"/>
      <c r="F104" s="331"/>
      <c r="G104" s="325"/>
      <c r="H104" s="162">
        <v>4</v>
      </c>
      <c r="I104" t="str" cm="1">
        <f t="array" ref="I104">_xlfn.IFS($H$104=1,"Very important",$H$104=2,"Important",$H$104=3,"Considered",$H$104=4,"Not considered")</f>
        <v>Not considered</v>
      </c>
    </row>
    <row r="105" spans="1:9" ht="20" customHeight="1" x14ac:dyDescent="0.35">
      <c r="A105" s="326"/>
      <c r="B105" s="332" t="s">
        <v>1325</v>
      </c>
      <c r="C105" s="331"/>
      <c r="D105" s="331"/>
      <c r="E105" s="331"/>
      <c r="F105" s="331"/>
      <c r="G105" s="325"/>
      <c r="H105" s="162">
        <v>4</v>
      </c>
      <c r="I105" t="str" cm="1">
        <f t="array" ref="I105">_xlfn.IFS($H$105=1,"Very important",$H$105=2,"Important",$H$105=3,"Considered",$H$105=4,"Not considered")</f>
        <v>Not considered</v>
      </c>
    </row>
    <row r="106" spans="1:9" ht="20" customHeight="1" x14ac:dyDescent="0.35">
      <c r="A106" s="326"/>
      <c r="B106" s="332" t="s">
        <v>1326</v>
      </c>
      <c r="C106" s="331"/>
      <c r="D106" s="331"/>
      <c r="E106" s="331"/>
      <c r="F106" s="331"/>
      <c r="G106" s="325"/>
      <c r="H106" s="162">
        <v>4</v>
      </c>
      <c r="I106" t="str" cm="1">
        <f t="array" ref="I106">_xlfn.IFS($H$106=1,"Very important",$H$106=2,"Important",$H$106=3,"Considered",$H$106=4,"Not considered")</f>
        <v>Not considered</v>
      </c>
    </row>
    <row r="107" spans="1:9" ht="20" customHeight="1" x14ac:dyDescent="0.35">
      <c r="A107" s="326"/>
      <c r="B107" s="332" t="s">
        <v>1327</v>
      </c>
      <c r="C107" s="331"/>
      <c r="D107" s="331"/>
      <c r="E107" s="331"/>
      <c r="F107" s="331"/>
      <c r="G107" s="325"/>
      <c r="H107" s="162">
        <v>4</v>
      </c>
      <c r="I107" t="str" cm="1">
        <f t="array" ref="I107">_xlfn.IFS($H$107=1,"Very important",$H$107=2,"Important",$H$107=3,"Considered",$H$107=4,"Not considered")</f>
        <v>Not considered</v>
      </c>
    </row>
    <row r="108" spans="1:9" ht="20" customHeight="1" x14ac:dyDescent="0.35">
      <c r="A108" s="326"/>
      <c r="B108" s="334" t="s">
        <v>1328</v>
      </c>
      <c r="C108" s="331"/>
      <c r="D108" s="331"/>
      <c r="E108" s="331"/>
      <c r="F108" s="331"/>
      <c r="G108" s="325"/>
      <c r="H108" s="162">
        <v>4</v>
      </c>
      <c r="I108" t="str" cm="1">
        <f t="array" ref="I108">_xlfn.IFS($H$108=1,"Very important",$H$108=2,"Important",$H$108=3,"Considered",$H$108=4,"Not considered")</f>
        <v>Not considered</v>
      </c>
    </row>
    <row r="109" spans="1:9" ht="20" customHeight="1" x14ac:dyDescent="0.35">
      <c r="A109" s="326"/>
      <c r="B109" s="332" t="s">
        <v>1329</v>
      </c>
      <c r="C109" s="331"/>
      <c r="D109" s="331"/>
      <c r="E109" s="331"/>
      <c r="F109" s="331"/>
      <c r="G109" s="325"/>
      <c r="H109" s="162">
        <v>4</v>
      </c>
      <c r="I109" t="str" cm="1">
        <f t="array" ref="I109">_xlfn.IFS($H$109=1,"Very important",$H$109=2,"Important",$H$109=3,"Considered",$H$109=4,"Not considered")</f>
        <v>Not considered</v>
      </c>
    </row>
    <row r="110" spans="1:9" ht="20" customHeight="1" x14ac:dyDescent="0.35">
      <c r="A110" s="326"/>
      <c r="B110" s="332" t="s">
        <v>1330</v>
      </c>
      <c r="C110" s="331"/>
      <c r="D110" s="331"/>
      <c r="E110" s="331"/>
      <c r="F110" s="331"/>
      <c r="G110" s="325"/>
      <c r="H110" s="162">
        <v>4</v>
      </c>
      <c r="I110" t="str" cm="1">
        <f t="array" ref="I110">_xlfn.IFS($H$110=1,"Very important",$H$110=2,"Important",$H$110=3,"Considered",$H$110=4,"Not considered")</f>
        <v>Not considered</v>
      </c>
    </row>
    <row r="111" spans="1:9" ht="20" customHeight="1" x14ac:dyDescent="0.35">
      <c r="A111" s="326"/>
      <c r="B111" s="332" t="s">
        <v>1331</v>
      </c>
      <c r="C111" s="331"/>
      <c r="D111" s="331"/>
      <c r="E111" s="331"/>
      <c r="F111" s="331"/>
      <c r="G111" s="325"/>
      <c r="H111" s="162">
        <v>3</v>
      </c>
      <c r="I111" t="str" cm="1">
        <f t="array" ref="I111">_xlfn.IFS($H$111=1,"Very important",$H$111=2,"Important",$H$111=3,"Considered",$H$111=4,"Not considered")</f>
        <v>Considered</v>
      </c>
    </row>
    <row r="112" spans="1:9" ht="20" customHeight="1" x14ac:dyDescent="0.35">
      <c r="A112" s="326"/>
      <c r="B112" s="332" t="s">
        <v>1332</v>
      </c>
      <c r="C112" s="331"/>
      <c r="D112" s="331"/>
      <c r="E112" s="331"/>
      <c r="F112" s="331"/>
      <c r="G112" s="325"/>
      <c r="H112" s="162">
        <v>4</v>
      </c>
      <c r="I112" t="str" cm="1">
        <f t="array" ref="I112">_xlfn.IFS($H$112=1,"Very important",$H$112=2,"Important",$H$112=3,"Considered",$H$112=4,"Not considered")</f>
        <v>Not considered</v>
      </c>
    </row>
    <row r="113" spans="1:21" ht="17" customHeight="1" x14ac:dyDescent="0.35">
      <c r="A113" s="326"/>
      <c r="B113" s="335"/>
      <c r="C113" s="323"/>
      <c r="D113" s="323"/>
      <c r="E113" s="323"/>
      <c r="F113" s="323"/>
      <c r="G113" s="325"/>
    </row>
    <row r="114" spans="1:21" ht="17" customHeight="1" x14ac:dyDescent="0.35">
      <c r="A114" s="326"/>
      <c r="B114" s="640" t="s">
        <v>1479</v>
      </c>
      <c r="C114" s="608"/>
      <c r="D114" s="608"/>
      <c r="E114" s="323"/>
      <c r="F114" s="323"/>
      <c r="G114" s="325"/>
    </row>
    <row r="115" spans="1:21" ht="17" customHeight="1" x14ac:dyDescent="0.35">
      <c r="A115" s="326"/>
      <c r="B115" s="667"/>
      <c r="C115" s="668"/>
      <c r="D115" s="669"/>
      <c r="E115" s="323"/>
      <c r="F115" s="323"/>
      <c r="G115" s="325"/>
    </row>
    <row r="116" spans="1:21" ht="17" customHeight="1" x14ac:dyDescent="0.35">
      <c r="A116" s="326"/>
      <c r="B116" s="670"/>
      <c r="C116" s="671"/>
      <c r="D116" s="672"/>
      <c r="E116" s="323"/>
      <c r="F116" s="323"/>
      <c r="G116" s="325"/>
    </row>
    <row r="117" spans="1:21" ht="17" customHeight="1" x14ac:dyDescent="0.35">
      <c r="A117" s="326"/>
      <c r="B117" s="335"/>
      <c r="C117" s="335"/>
      <c r="D117" s="335"/>
      <c r="E117" s="323"/>
      <c r="F117" s="323"/>
      <c r="G117" s="325"/>
    </row>
    <row r="118" spans="1:21" x14ac:dyDescent="0.35">
      <c r="A118" s="311"/>
      <c r="B118" s="313"/>
      <c r="C118" s="313"/>
      <c r="D118" s="313"/>
      <c r="E118" s="313"/>
      <c r="F118" s="313"/>
      <c r="G118" s="313"/>
    </row>
    <row r="119" spans="1:21" ht="18" x14ac:dyDescent="0.4">
      <c r="A119" s="311"/>
      <c r="B119" s="290" t="s">
        <v>1333</v>
      </c>
      <c r="C119" s="313"/>
      <c r="D119" s="313"/>
      <c r="E119" s="313"/>
      <c r="F119" s="313"/>
      <c r="G119" s="313"/>
    </row>
    <row r="120" spans="1:21" ht="18" x14ac:dyDescent="0.4">
      <c r="A120" s="314"/>
      <c r="B120" s="299" t="s">
        <v>1334</v>
      </c>
      <c r="C120" s="337"/>
      <c r="D120" s="337"/>
      <c r="E120" s="337"/>
      <c r="F120" s="337"/>
      <c r="G120" s="337"/>
    </row>
    <row r="121" spans="1:21" ht="25" customHeight="1" x14ac:dyDescent="0.35">
      <c r="A121" s="314"/>
      <c r="B121" s="631"/>
      <c r="C121" s="632"/>
      <c r="D121" s="633"/>
      <c r="E121" s="338" t="s">
        <v>1108</v>
      </c>
      <c r="F121" s="323"/>
      <c r="G121" s="337"/>
    </row>
    <row r="122" spans="1:21" ht="45" customHeight="1" x14ac:dyDescent="0.35">
      <c r="A122" s="314"/>
      <c r="B122" s="640" t="s">
        <v>1344</v>
      </c>
      <c r="C122" s="608"/>
      <c r="D122" s="608"/>
      <c r="E122" s="405" t="s">
        <v>1984</v>
      </c>
      <c r="F122" s="339"/>
      <c r="G122" s="337"/>
      <c r="H122" t="str" cm="1">
        <f t="array" ref="H122">_xlfn.IFS($E$122="YES", "Yes", $E$122="yes", "Yes", $E$122="Yes", "Yes", $E$122="NO", "No", $E$122="no", "No", $E$122="No", "No")</f>
        <v>No</v>
      </c>
    </row>
    <row r="123" spans="1:21" x14ac:dyDescent="0.35">
      <c r="A123" s="314"/>
      <c r="B123" s="340"/>
      <c r="C123" s="341"/>
      <c r="D123" s="341"/>
      <c r="E123" s="342"/>
      <c r="F123" s="343"/>
      <c r="G123" s="337"/>
    </row>
    <row r="124" spans="1:21" ht="27" customHeight="1" x14ac:dyDescent="0.35">
      <c r="A124" s="326" t="s">
        <v>1335</v>
      </c>
      <c r="B124" s="673" t="s">
        <v>1893</v>
      </c>
      <c r="C124" s="674"/>
      <c r="D124" s="674"/>
      <c r="E124" s="674"/>
      <c r="F124" s="675"/>
      <c r="G124" s="344"/>
    </row>
    <row r="125" spans="1:21" ht="25" customHeight="1" x14ac:dyDescent="0.35">
      <c r="A125" s="326"/>
      <c r="B125" s="676"/>
      <c r="C125" s="678" t="s">
        <v>1336</v>
      </c>
      <c r="D125" s="679"/>
      <c r="E125" s="679"/>
      <c r="F125" s="680"/>
      <c r="G125" s="681"/>
    </row>
    <row r="126" spans="1:21" ht="25" customHeight="1" x14ac:dyDescent="0.35">
      <c r="A126" s="326"/>
      <c r="B126" s="677"/>
      <c r="C126" s="533" t="s">
        <v>702</v>
      </c>
      <c r="D126" s="533" t="s">
        <v>701</v>
      </c>
      <c r="E126" s="533" t="s">
        <v>1337</v>
      </c>
      <c r="F126" s="328" t="s">
        <v>1338</v>
      </c>
      <c r="G126" s="533" t="s">
        <v>1313</v>
      </c>
    </row>
    <row r="127" spans="1:21" ht="28" customHeight="1" x14ac:dyDescent="0.35">
      <c r="A127" s="326"/>
      <c r="B127" s="532" t="s">
        <v>1339</v>
      </c>
      <c r="C127" s="345"/>
      <c r="D127" s="345"/>
      <c r="E127" s="345"/>
      <c r="F127" s="345"/>
      <c r="G127" s="346"/>
      <c r="H127" s="162">
        <v>3</v>
      </c>
      <c r="J127" s="162"/>
      <c r="K127" s="162"/>
      <c r="L127" s="162"/>
      <c r="M127" s="162"/>
      <c r="N127" s="162"/>
      <c r="U127" t="str" cm="1">
        <f t="array" ref="U127">_xlfn.IFS($H$127=1, "Require", $H$127=2, "Recommend", $H$127=3, "Require for Some", $H$127=4, "Consider if Submitted", $H$127=5, "Not Considered")</f>
        <v>Require for Some</v>
      </c>
    </row>
    <row r="128" spans="1:21" ht="28" customHeight="1" x14ac:dyDescent="0.35">
      <c r="A128" s="326"/>
      <c r="B128" s="532" t="s">
        <v>1340</v>
      </c>
      <c r="C128" s="345"/>
      <c r="D128" s="345"/>
      <c r="E128" s="345"/>
      <c r="F128" s="345"/>
      <c r="G128" s="346"/>
      <c r="H128" s="162">
        <v>5</v>
      </c>
      <c r="J128" s="162"/>
      <c r="K128" s="162"/>
      <c r="L128" s="162"/>
      <c r="M128" s="162"/>
      <c r="N128" s="162"/>
      <c r="U128" t="str" cm="1">
        <f t="array" ref="U128">_xlfn.IFS($H$128=1, "Require", $H$128=2, "Recommend", $H$128=3, "Require for Some", $H$128=4, "Consider if Submitted", $H$128=5, "Not Considered")</f>
        <v>Not Considered</v>
      </c>
    </row>
    <row r="129" spans="1:21" ht="28" customHeight="1" x14ac:dyDescent="0.35">
      <c r="A129" s="326"/>
      <c r="B129" s="532" t="s">
        <v>1341</v>
      </c>
      <c r="C129" s="345"/>
      <c r="D129" s="345"/>
      <c r="E129" s="345"/>
      <c r="F129" s="345"/>
      <c r="G129" s="346"/>
      <c r="H129" s="162">
        <v>5</v>
      </c>
      <c r="J129" s="162"/>
      <c r="K129" s="162"/>
      <c r="L129" s="162"/>
      <c r="M129" s="162"/>
      <c r="N129" s="162"/>
      <c r="S129" t="str" cm="1">
        <f t="array" ref="S129">_xlfn.IFS($N$129=TRUE, "Not Considered", $N$129=FALSE, "")</f>
        <v/>
      </c>
      <c r="U129" t="str" cm="1">
        <f t="array" ref="U129">_xlfn.IFS($H$129=1, "Require", $H$129=2, "Recommend", $H$129=3, "Require for Some", $H$129=4, "Consider if Submitted", $H$129=5, "Not Considered")</f>
        <v>Not Considered</v>
      </c>
    </row>
    <row r="130" spans="1:21" ht="28" customHeight="1" x14ac:dyDescent="0.35">
      <c r="A130" s="326"/>
      <c r="B130" s="347"/>
      <c r="C130" s="348"/>
      <c r="D130" s="348"/>
      <c r="E130" s="348"/>
      <c r="F130" s="348"/>
      <c r="G130" s="344"/>
    </row>
    <row r="132" spans="1:21" x14ac:dyDescent="0.35">
      <c r="A132" s="326" t="s">
        <v>1345</v>
      </c>
      <c r="B132" s="353" t="s">
        <v>1346</v>
      </c>
      <c r="C132" s="638" t="s">
        <v>1108</v>
      </c>
      <c r="D132" s="638"/>
      <c r="E132" s="325"/>
      <c r="F132" s="325"/>
      <c r="G132" s="352"/>
    </row>
    <row r="133" spans="1:21" ht="40" customHeight="1" x14ac:dyDescent="0.35">
      <c r="A133" s="326"/>
      <c r="B133" s="354"/>
      <c r="C133" s="639" t="s">
        <v>1984</v>
      </c>
      <c r="D133" s="639"/>
      <c r="E133" s="325"/>
      <c r="F133" s="325"/>
      <c r="G133" s="352"/>
      <c r="H133" t="str" cm="1">
        <f t="array" ref="H133">_xlfn.IFS($C$133="YES", "Yes", $C$133="yes", "Yes", $C$133="Yes", "Yes", $C$133="NO", "No", $C$133="no", "No", $C$133="No", "No")</f>
        <v>No</v>
      </c>
    </row>
    <row r="134" spans="1:21" ht="26" customHeight="1" x14ac:dyDescent="0.35">
      <c r="A134" s="350"/>
      <c r="B134" s="325"/>
      <c r="C134" s="211"/>
      <c r="D134" s="317"/>
      <c r="E134" s="325"/>
      <c r="F134" s="319"/>
      <c r="G134" s="313"/>
    </row>
    <row r="135" spans="1:21" ht="32" customHeight="1" x14ac:dyDescent="0.35">
      <c r="A135" s="326" t="s">
        <v>1347</v>
      </c>
      <c r="B135" s="648" t="s">
        <v>1348</v>
      </c>
      <c r="C135" s="648"/>
      <c r="D135" s="648"/>
      <c r="E135" s="648"/>
      <c r="F135" s="521" t="s">
        <v>582</v>
      </c>
      <c r="G135" s="313"/>
    </row>
    <row r="136" spans="1:21" ht="32" customHeight="1" x14ac:dyDescent="0.35">
      <c r="A136" s="326"/>
      <c r="B136" s="602" t="s">
        <v>1349</v>
      </c>
      <c r="C136" s="602"/>
      <c r="D136" s="602"/>
      <c r="E136" s="602"/>
      <c r="F136" s="521" t="s">
        <v>582</v>
      </c>
      <c r="G136" s="313"/>
    </row>
    <row r="137" spans="1:21" ht="20" customHeight="1" x14ac:dyDescent="0.35">
      <c r="A137" s="326"/>
      <c r="B137" s="356"/>
      <c r="C137" s="356"/>
      <c r="D137" s="356"/>
      <c r="E137" s="357"/>
      <c r="F137" s="319"/>
      <c r="G137" s="313"/>
    </row>
    <row r="138" spans="1:21" x14ac:dyDescent="0.35">
      <c r="A138" s="326" t="s">
        <v>1350</v>
      </c>
      <c r="B138" s="602" t="s">
        <v>1480</v>
      </c>
      <c r="C138" s="602"/>
      <c r="D138" s="649" t="s">
        <v>1985</v>
      </c>
      <c r="E138" s="650"/>
      <c r="F138" s="651"/>
      <c r="G138" s="313"/>
    </row>
    <row r="139" spans="1:21" ht="51" customHeight="1" x14ac:dyDescent="0.35">
      <c r="A139" s="326"/>
      <c r="B139" s="602"/>
      <c r="C139" s="602"/>
      <c r="D139" s="652"/>
      <c r="E139" s="653"/>
      <c r="F139" s="654"/>
      <c r="G139" s="313"/>
    </row>
    <row r="140" spans="1:21" x14ac:dyDescent="0.35">
      <c r="A140" s="326"/>
      <c r="B140" s="350"/>
      <c r="C140" s="350"/>
      <c r="D140" s="350"/>
      <c r="E140" s="357"/>
      <c r="F140" s="319"/>
      <c r="G140" s="313"/>
    </row>
    <row r="141" spans="1:21" ht="26" customHeight="1" x14ac:dyDescent="0.35">
      <c r="A141" s="324" t="s">
        <v>1351</v>
      </c>
      <c r="B141" s="641" t="s">
        <v>1382</v>
      </c>
      <c r="C141" s="641"/>
      <c r="D141" s="641"/>
      <c r="E141" s="641"/>
      <c r="F141" s="641"/>
      <c r="G141" s="352"/>
    </row>
    <row r="142" spans="1:21" x14ac:dyDescent="0.35">
      <c r="A142" s="326"/>
      <c r="B142" s="351" t="s">
        <v>1352</v>
      </c>
      <c r="C142" s="320"/>
      <c r="D142" s="320"/>
      <c r="E142" s="358"/>
      <c r="F142" s="344"/>
      <c r="G142" s="407" t="b">
        <v>0</v>
      </c>
      <c r="H142" t="str" cm="1">
        <f t="array" ref="H142">_xlfn.IFS($G$142=TRUE, "SAT|", $G$142=FALSE, "")</f>
        <v/>
      </c>
    </row>
    <row r="143" spans="1:21" x14ac:dyDescent="0.35">
      <c r="A143" s="326"/>
      <c r="B143" s="642" t="s">
        <v>1353</v>
      </c>
      <c r="C143" s="643"/>
      <c r="D143" s="643"/>
      <c r="E143" s="323"/>
      <c r="F143" s="344"/>
      <c r="G143" s="407" t="b">
        <v>0</v>
      </c>
      <c r="H143" t="str" cm="1">
        <f t="array" ref="H143">_xlfn.IFS($G$143=TRUE, "ACT|", $G$143=FALSE, "")</f>
        <v/>
      </c>
    </row>
    <row r="144" spans="1:21" x14ac:dyDescent="0.35">
      <c r="A144" s="326"/>
      <c r="B144" s="351" t="s">
        <v>1342</v>
      </c>
      <c r="C144" s="320"/>
      <c r="D144" s="320"/>
      <c r="E144" s="323"/>
      <c r="F144" s="325"/>
      <c r="G144" s="407" t="b">
        <v>0</v>
      </c>
      <c r="H144" t="str" cm="1">
        <f t="array" ref="H144">_xlfn.IFS($G$144=TRUE, "SAT Subject Tests|", $G$144=FALSE, "")</f>
        <v/>
      </c>
    </row>
    <row r="145" spans="1:9" x14ac:dyDescent="0.35">
      <c r="A145" s="326"/>
      <c r="B145" s="351" t="s">
        <v>1354</v>
      </c>
      <c r="C145" s="320"/>
      <c r="D145" s="320"/>
      <c r="E145" s="323"/>
      <c r="F145" s="325"/>
      <c r="G145" s="407" t="b">
        <v>0</v>
      </c>
      <c r="H145" t="str" cm="1">
        <f t="array" ref="H145">_xlfn.IFS($G$145=TRUE, "AP|", $G$145=FALSE, "")</f>
        <v/>
      </c>
    </row>
    <row r="146" spans="1:9" x14ac:dyDescent="0.35">
      <c r="A146" s="326"/>
      <c r="B146" s="322" t="s">
        <v>1355</v>
      </c>
      <c r="C146" s="320"/>
      <c r="D146" s="320"/>
      <c r="E146" s="357"/>
      <c r="F146" s="319"/>
      <c r="G146" s="407" t="b">
        <v>0</v>
      </c>
      <c r="H146" t="str" cm="1">
        <f t="array" ref="H146">_xlfn.IFS($G$146=TRUE, "CLEP|", $G$146=FALSE, "")</f>
        <v/>
      </c>
    </row>
    <row r="147" spans="1:9" x14ac:dyDescent="0.35">
      <c r="A147" s="326"/>
      <c r="B147" s="351" t="s">
        <v>1356</v>
      </c>
      <c r="C147" s="317"/>
      <c r="D147" s="317"/>
      <c r="E147" s="323"/>
      <c r="F147" s="325"/>
      <c r="G147" s="407" t="b">
        <v>0</v>
      </c>
      <c r="H147" t="str" cm="1">
        <f t="array" ref="H147">_xlfn.IFS($G$147=TRUE, "Institutional Exam|", $G$147=FALSE, "")</f>
        <v/>
      </c>
    </row>
    <row r="148" spans="1:9" x14ac:dyDescent="0.35">
      <c r="A148" s="326"/>
      <c r="B148" s="351" t="s">
        <v>1357</v>
      </c>
      <c r="C148" s="644"/>
      <c r="D148" s="644"/>
      <c r="E148" s="644"/>
      <c r="F148" s="644"/>
      <c r="G148" s="407" t="b">
        <v>0</v>
      </c>
      <c r="H148" t="str" cm="1">
        <f t="array" ref="H148">_xlfn.IFS($G$148=TRUE, "State Exam|", $G$148=FALSE, "")</f>
        <v/>
      </c>
    </row>
    <row r="149" spans="1:9" x14ac:dyDescent="0.35">
      <c r="A149" s="314"/>
      <c r="B149" s="359"/>
      <c r="C149" s="360"/>
      <c r="D149" s="360"/>
      <c r="E149" s="360"/>
      <c r="F149" s="360"/>
      <c r="G149" s="313"/>
    </row>
    <row r="150" spans="1:9" x14ac:dyDescent="0.35">
      <c r="A150" s="314"/>
      <c r="B150" s="341"/>
      <c r="C150" s="341"/>
      <c r="D150" s="341"/>
      <c r="E150" s="361"/>
      <c r="F150" s="362"/>
      <c r="G150" s="313"/>
    </row>
    <row r="151" spans="1:9" ht="25" customHeight="1" x14ac:dyDescent="0.4">
      <c r="A151" s="350"/>
      <c r="B151" s="290" t="s">
        <v>1390</v>
      </c>
      <c r="C151" s="211"/>
      <c r="D151" s="317"/>
      <c r="E151" s="325"/>
      <c r="F151" s="319"/>
      <c r="G151" s="325"/>
    </row>
    <row r="152" spans="1:9" ht="41" customHeight="1" x14ac:dyDescent="0.35">
      <c r="A152" s="350"/>
      <c r="B152" s="645" t="s">
        <v>1897</v>
      </c>
      <c r="C152" s="646"/>
      <c r="D152" s="646"/>
      <c r="E152" s="646"/>
      <c r="F152" s="646"/>
      <c r="G152" s="325"/>
    </row>
    <row r="153" spans="1:9" x14ac:dyDescent="0.35">
      <c r="A153" s="350"/>
      <c r="B153" s="363"/>
      <c r="C153" s="211"/>
      <c r="D153" s="317"/>
      <c r="E153" s="325"/>
      <c r="F153" s="319"/>
      <c r="G153" s="325"/>
    </row>
    <row r="154" spans="1:9" s="120" customFormat="1" ht="17" customHeight="1" x14ac:dyDescent="0.35">
      <c r="A154" s="324" t="s">
        <v>1358</v>
      </c>
      <c r="B154" s="647" t="s">
        <v>1851</v>
      </c>
      <c r="C154" s="647"/>
      <c r="D154" s="647"/>
      <c r="E154" s="647"/>
      <c r="F154" s="647"/>
      <c r="G154" s="364"/>
      <c r="I154"/>
    </row>
    <row r="155" spans="1:9" s="120" customFormat="1" ht="33" customHeight="1" x14ac:dyDescent="0.35">
      <c r="A155" s="324"/>
      <c r="B155" s="640" t="s">
        <v>1389</v>
      </c>
      <c r="C155" s="634"/>
      <c r="D155" s="634"/>
      <c r="E155" s="634"/>
      <c r="F155" s="634"/>
      <c r="G155" s="364"/>
    </row>
    <row r="156" spans="1:9" s="120" customFormat="1" ht="33" customHeight="1" x14ac:dyDescent="0.35">
      <c r="A156" s="324"/>
      <c r="B156" s="634" t="s">
        <v>1383</v>
      </c>
      <c r="C156" s="634"/>
      <c r="D156" s="634"/>
      <c r="E156" s="634"/>
      <c r="F156" s="634"/>
      <c r="G156" s="364"/>
    </row>
    <row r="157" spans="1:9" s="120" customFormat="1" ht="17" customHeight="1" x14ac:dyDescent="0.35">
      <c r="A157" s="324"/>
      <c r="B157" s="634" t="s">
        <v>1384</v>
      </c>
      <c r="C157" s="634"/>
      <c r="D157" s="634"/>
      <c r="E157" s="634"/>
      <c r="F157" s="634"/>
      <c r="G157" s="364"/>
    </row>
    <row r="158" spans="1:9" s="120" customFormat="1" ht="34" customHeight="1" x14ac:dyDescent="0.35">
      <c r="A158" s="324"/>
      <c r="B158" s="634" t="s">
        <v>1385</v>
      </c>
      <c r="C158" s="634"/>
      <c r="D158" s="634"/>
      <c r="E158" s="634"/>
      <c r="F158" s="634"/>
      <c r="G158" s="364"/>
    </row>
    <row r="159" spans="1:9" s="120" customFormat="1" ht="35" customHeight="1" x14ac:dyDescent="0.35">
      <c r="A159" s="324"/>
      <c r="B159" s="634" t="s">
        <v>1849</v>
      </c>
      <c r="C159" s="634"/>
      <c r="D159" s="634"/>
      <c r="E159" s="634"/>
      <c r="F159" s="634"/>
      <c r="G159" s="364"/>
    </row>
    <row r="160" spans="1:9" s="120" customFormat="1" ht="17" customHeight="1" x14ac:dyDescent="0.35">
      <c r="A160" s="324"/>
      <c r="B160" s="634" t="s">
        <v>1850</v>
      </c>
      <c r="C160" s="634"/>
      <c r="D160" s="634"/>
      <c r="E160" s="634"/>
      <c r="F160" s="634"/>
      <c r="G160" s="364"/>
    </row>
    <row r="161" spans="1:9" x14ac:dyDescent="0.35">
      <c r="A161" s="326"/>
      <c r="B161" s="365"/>
      <c r="C161" s="356"/>
      <c r="D161" s="356"/>
      <c r="E161" s="356"/>
      <c r="F161" s="356"/>
      <c r="G161" s="325"/>
      <c r="I161" s="120"/>
    </row>
    <row r="162" spans="1:9" ht="17" customHeight="1" x14ac:dyDescent="0.35">
      <c r="A162" s="326"/>
      <c r="B162" s="366"/>
      <c r="C162" s="484" t="s">
        <v>1889</v>
      </c>
      <c r="D162" s="485" t="s">
        <v>437</v>
      </c>
      <c r="E162" s="315"/>
      <c r="F162" s="367"/>
      <c r="G162" s="325"/>
    </row>
    <row r="163" spans="1:9" ht="17" customHeight="1" x14ac:dyDescent="0.35">
      <c r="A163" s="326"/>
      <c r="B163" s="368" t="s">
        <v>1359</v>
      </c>
      <c r="C163" s="486">
        <v>24</v>
      </c>
      <c r="D163" s="408">
        <v>43</v>
      </c>
      <c r="E163" s="356"/>
      <c r="F163" s="367"/>
      <c r="G163" s="325"/>
    </row>
    <row r="164" spans="1:9" ht="17" customHeight="1" x14ac:dyDescent="0.35">
      <c r="A164" s="326"/>
      <c r="B164" s="368" t="s">
        <v>1360</v>
      </c>
      <c r="C164" s="486">
        <v>19</v>
      </c>
      <c r="D164" s="408">
        <v>33</v>
      </c>
      <c r="E164" s="356"/>
      <c r="F164" s="367"/>
      <c r="G164" s="325"/>
    </row>
    <row r="165" spans="1:9" x14ac:dyDescent="0.35">
      <c r="A165" s="326"/>
      <c r="B165" s="365"/>
      <c r="C165" s="356"/>
      <c r="D165" s="356"/>
      <c r="E165" s="356"/>
      <c r="F165" s="356"/>
      <c r="G165" s="325"/>
    </row>
    <row r="166" spans="1:9" x14ac:dyDescent="0.35">
      <c r="A166" s="326"/>
      <c r="B166" s="635" t="s">
        <v>1388</v>
      </c>
      <c r="C166" s="635"/>
      <c r="D166" s="635"/>
      <c r="E166" s="635"/>
      <c r="F166" s="635"/>
      <c r="G166" s="635"/>
    </row>
    <row r="167" spans="1:9" ht="27" customHeight="1" x14ac:dyDescent="0.35">
      <c r="A167" s="326"/>
      <c r="B167" s="635"/>
      <c r="C167" s="635"/>
      <c r="D167" s="635"/>
      <c r="E167" s="635"/>
      <c r="F167" s="635"/>
      <c r="G167" s="635"/>
    </row>
    <row r="168" spans="1:9" x14ac:dyDescent="0.35">
      <c r="A168" s="326"/>
      <c r="B168" s="365"/>
      <c r="C168" s="356"/>
      <c r="D168" s="356"/>
      <c r="E168" s="356"/>
      <c r="F168" s="356"/>
      <c r="G168" s="325"/>
    </row>
    <row r="169" spans="1:9" ht="17" customHeight="1" x14ac:dyDescent="0.35">
      <c r="A169" s="326"/>
      <c r="B169" s="369" t="s">
        <v>1361</v>
      </c>
      <c r="C169" s="369" t="s">
        <v>1362</v>
      </c>
      <c r="D169" s="369" t="s">
        <v>1387</v>
      </c>
      <c r="E169" s="369" t="s">
        <v>1363</v>
      </c>
      <c r="F169" s="325"/>
      <c r="G169" s="325"/>
      <c r="H169" s="325"/>
    </row>
    <row r="170" spans="1:9" ht="17" customHeight="1" x14ac:dyDescent="0.35">
      <c r="A170" s="326"/>
      <c r="B170" s="370" t="s">
        <v>1364</v>
      </c>
      <c r="C170" s="409">
        <v>1160</v>
      </c>
      <c r="D170" s="409">
        <v>1280</v>
      </c>
      <c r="E170" s="409">
        <v>1350</v>
      </c>
      <c r="F170" s="325"/>
      <c r="G170" s="325"/>
      <c r="H170" s="325"/>
    </row>
    <row r="171" spans="1:9" ht="17" customHeight="1" x14ac:dyDescent="0.35">
      <c r="A171" s="326"/>
      <c r="B171" s="371" t="s">
        <v>1365</v>
      </c>
      <c r="C171" s="406">
        <v>590</v>
      </c>
      <c r="D171" s="406">
        <v>660</v>
      </c>
      <c r="E171" s="406">
        <v>710</v>
      </c>
      <c r="F171" s="325"/>
      <c r="G171" s="356"/>
      <c r="H171" s="325"/>
    </row>
    <row r="172" spans="1:9" ht="17" customHeight="1" x14ac:dyDescent="0.35">
      <c r="A172" s="326"/>
      <c r="B172" s="370" t="s">
        <v>1366</v>
      </c>
      <c r="C172" s="406">
        <v>540</v>
      </c>
      <c r="D172" s="406">
        <v>610</v>
      </c>
      <c r="E172" s="406">
        <v>670</v>
      </c>
      <c r="F172" s="325"/>
      <c r="G172" s="325"/>
      <c r="H172" s="325"/>
    </row>
    <row r="173" spans="1:9" ht="17" customHeight="1" x14ac:dyDescent="0.35">
      <c r="A173" s="326"/>
      <c r="B173" s="370" t="s">
        <v>1367</v>
      </c>
      <c r="C173" s="406">
        <v>24</v>
      </c>
      <c r="D173" s="406">
        <v>26</v>
      </c>
      <c r="E173" s="406">
        <v>32</v>
      </c>
      <c r="F173" s="325"/>
      <c r="G173" s="325"/>
      <c r="H173" s="325"/>
    </row>
    <row r="174" spans="1:9" ht="17" customHeight="1" x14ac:dyDescent="0.35">
      <c r="A174" s="326"/>
      <c r="B174" s="370" t="s">
        <v>1368</v>
      </c>
      <c r="C174" s="406">
        <v>23</v>
      </c>
      <c r="D174" s="406">
        <v>26</v>
      </c>
      <c r="E174" s="406">
        <v>28</v>
      </c>
      <c r="F174" s="325"/>
      <c r="G174" s="325"/>
      <c r="H174" s="325"/>
    </row>
    <row r="175" spans="1:9" ht="17" customHeight="1" x14ac:dyDescent="0.35">
      <c r="A175" s="326"/>
      <c r="B175" s="370" t="s">
        <v>1369</v>
      </c>
      <c r="C175" s="406">
        <v>21</v>
      </c>
      <c r="D175" s="406">
        <v>26</v>
      </c>
      <c r="E175" s="406">
        <v>33</v>
      </c>
      <c r="F175" s="325"/>
      <c r="G175" s="325"/>
      <c r="H175" s="325"/>
    </row>
    <row r="176" spans="1:9" ht="17" customHeight="1" x14ac:dyDescent="0.35">
      <c r="A176" s="326"/>
      <c r="B176" s="370" t="s">
        <v>1370</v>
      </c>
      <c r="C176" s="162"/>
      <c r="D176" s="162"/>
      <c r="E176" s="162"/>
      <c r="F176" s="325"/>
      <c r="G176" s="325"/>
      <c r="H176" s="325"/>
    </row>
    <row r="177" spans="1:8" ht="17" customHeight="1" x14ac:dyDescent="0.35">
      <c r="A177" s="326"/>
      <c r="B177" s="370" t="s">
        <v>1481</v>
      </c>
      <c r="C177" s="406">
        <v>24</v>
      </c>
      <c r="D177" s="406">
        <v>26</v>
      </c>
      <c r="E177" s="406">
        <v>33</v>
      </c>
      <c r="F177" s="325"/>
      <c r="G177" s="325"/>
      <c r="H177" s="325"/>
    </row>
    <row r="178" spans="1:8" ht="17" customHeight="1" x14ac:dyDescent="0.35">
      <c r="A178" s="326"/>
      <c r="B178" s="370" t="s">
        <v>1482</v>
      </c>
      <c r="C178" s="406">
        <v>25</v>
      </c>
      <c r="D178" s="406">
        <v>31</v>
      </c>
      <c r="E178" s="406">
        <v>34</v>
      </c>
      <c r="F178" s="325"/>
      <c r="G178" s="325"/>
      <c r="H178" s="325"/>
    </row>
    <row r="179" spans="1:8" x14ac:dyDescent="0.35">
      <c r="A179" s="350"/>
      <c r="B179" s="325"/>
      <c r="C179" s="372"/>
      <c r="D179" s="372"/>
      <c r="E179" s="325"/>
      <c r="F179" s="325"/>
      <c r="G179" s="325"/>
    </row>
    <row r="180" spans="1:8" ht="16.5" x14ac:dyDescent="0.35">
      <c r="A180" s="350"/>
      <c r="B180" s="636" t="s">
        <v>1386</v>
      </c>
      <c r="C180" s="637"/>
      <c r="D180" s="637"/>
      <c r="E180" s="637"/>
      <c r="F180" s="637"/>
      <c r="G180" s="637"/>
    </row>
    <row r="181" spans="1:8" x14ac:dyDescent="0.35">
      <c r="A181" s="350"/>
      <c r="B181" s="325"/>
      <c r="C181" s="372"/>
      <c r="D181" s="372"/>
      <c r="E181" s="325"/>
      <c r="F181" s="325"/>
      <c r="G181" s="325"/>
    </row>
    <row r="182" spans="1:8" ht="46.5" x14ac:dyDescent="0.35">
      <c r="A182" s="350"/>
      <c r="B182" s="373" t="s">
        <v>1371</v>
      </c>
      <c r="C182" s="374" t="s">
        <v>1365</v>
      </c>
      <c r="D182" s="373" t="s">
        <v>1366</v>
      </c>
      <c r="E182" s="325"/>
      <c r="F182" s="325"/>
      <c r="G182" s="325"/>
    </row>
    <row r="183" spans="1:8" ht="17" customHeight="1" x14ac:dyDescent="0.35">
      <c r="A183" s="350"/>
      <c r="B183" s="355" t="s">
        <v>1372</v>
      </c>
      <c r="C183" s="487">
        <v>39.53</v>
      </c>
      <c r="D183" s="487">
        <v>13.95</v>
      </c>
      <c r="E183" s="325" t="s">
        <v>1888</v>
      </c>
      <c r="F183" s="325"/>
      <c r="G183" s="325"/>
    </row>
    <row r="184" spans="1:8" ht="17" customHeight="1" x14ac:dyDescent="0.35">
      <c r="A184" s="350"/>
      <c r="B184" s="355" t="s">
        <v>1373</v>
      </c>
      <c r="C184" s="487">
        <v>32.56</v>
      </c>
      <c r="D184" s="487">
        <v>39.53</v>
      </c>
      <c r="E184" s="325" t="s">
        <v>1888</v>
      </c>
      <c r="F184" s="325"/>
      <c r="G184" s="325"/>
    </row>
    <row r="185" spans="1:8" ht="17" customHeight="1" x14ac:dyDescent="0.35">
      <c r="A185" s="350"/>
      <c r="B185" s="355" t="s">
        <v>1374</v>
      </c>
      <c r="C185" s="487">
        <v>20.93</v>
      </c>
      <c r="D185" s="487">
        <v>39.53</v>
      </c>
      <c r="E185" s="325" t="s">
        <v>1888</v>
      </c>
      <c r="F185" s="325"/>
      <c r="G185" s="325"/>
    </row>
    <row r="186" spans="1:8" ht="17" customHeight="1" x14ac:dyDescent="0.35">
      <c r="A186" s="350"/>
      <c r="B186" s="355" t="s">
        <v>1375</v>
      </c>
      <c r="C186" s="487">
        <v>6.98</v>
      </c>
      <c r="D186" s="487">
        <v>6.98</v>
      </c>
      <c r="E186" s="325" t="s">
        <v>1888</v>
      </c>
      <c r="F186" s="325"/>
      <c r="G186" s="325"/>
    </row>
    <row r="187" spans="1:8" ht="17" customHeight="1" x14ac:dyDescent="0.35">
      <c r="A187" s="350"/>
      <c r="B187" s="355" t="s">
        <v>1376</v>
      </c>
      <c r="C187" s="487" t="s">
        <v>582</v>
      </c>
      <c r="D187" s="487" t="s">
        <v>582</v>
      </c>
      <c r="E187" s="325" t="s">
        <v>1888</v>
      </c>
      <c r="F187" s="325"/>
      <c r="G187" s="325"/>
    </row>
    <row r="188" spans="1:8" ht="17" customHeight="1" x14ac:dyDescent="0.35">
      <c r="A188" s="350"/>
      <c r="B188" s="355" t="s">
        <v>1377</v>
      </c>
      <c r="C188" s="487" t="s">
        <v>582</v>
      </c>
      <c r="D188" s="487" t="s">
        <v>582</v>
      </c>
      <c r="E188" s="325" t="s">
        <v>1888</v>
      </c>
      <c r="F188" s="325"/>
      <c r="G188" s="325"/>
    </row>
    <row r="189" spans="1:8" ht="17" customHeight="1" x14ac:dyDescent="0.35">
      <c r="A189" s="350"/>
      <c r="B189" s="370" t="s">
        <v>1378</v>
      </c>
      <c r="C189" s="501">
        <f>SUM(C183:C188)</f>
        <v>100.00000000000001</v>
      </c>
      <c r="D189" s="501">
        <f>SUM(D183:D188)</f>
        <v>99.990000000000009</v>
      </c>
      <c r="E189" s="363" t="s">
        <v>1888</v>
      </c>
      <c r="F189" s="325"/>
      <c r="G189" s="325"/>
    </row>
    <row r="190" spans="1:8" ht="17" customHeight="1" x14ac:dyDescent="0.35">
      <c r="A190" s="350"/>
      <c r="B190" s="325"/>
      <c r="C190" s="372"/>
      <c r="D190" s="372"/>
      <c r="E190" s="325"/>
      <c r="F190" s="325"/>
      <c r="G190" s="325"/>
    </row>
    <row r="191" spans="1:8" ht="17" customHeight="1" x14ac:dyDescent="0.35">
      <c r="A191" s="326"/>
      <c r="B191" s="369" t="s">
        <v>1371</v>
      </c>
      <c r="C191" s="375" t="s">
        <v>1364</v>
      </c>
      <c r="D191" s="366"/>
      <c r="E191" s="366"/>
      <c r="F191" s="366"/>
      <c r="G191" s="325"/>
    </row>
    <row r="192" spans="1:8" ht="17" customHeight="1" x14ac:dyDescent="0.35">
      <c r="A192" s="326"/>
      <c r="B192" s="376" t="s">
        <v>1379</v>
      </c>
      <c r="C192" s="503">
        <v>13.95</v>
      </c>
      <c r="D192" s="366" t="s">
        <v>1888</v>
      </c>
      <c r="E192" s="366"/>
      <c r="F192" s="366"/>
      <c r="G192" s="325"/>
    </row>
    <row r="193" spans="1:26" ht="17" customHeight="1" x14ac:dyDescent="0.35">
      <c r="A193" s="326"/>
      <c r="B193" s="376" t="s">
        <v>1380</v>
      </c>
      <c r="C193" s="503">
        <v>53.49</v>
      </c>
      <c r="D193" s="366" t="s">
        <v>1888</v>
      </c>
      <c r="E193" s="366"/>
      <c r="F193" s="366"/>
      <c r="G193" s="325"/>
    </row>
    <row r="194" spans="1:26" ht="17" customHeight="1" x14ac:dyDescent="0.35">
      <c r="A194" s="326"/>
      <c r="B194" s="376" t="s">
        <v>1381</v>
      </c>
      <c r="C194" s="503">
        <v>30.23</v>
      </c>
      <c r="D194" s="366" t="s">
        <v>1888</v>
      </c>
      <c r="E194" s="366"/>
      <c r="F194" s="366"/>
      <c r="G194" s="325"/>
    </row>
    <row r="195" spans="1:26" ht="17" customHeight="1" x14ac:dyDescent="0.35">
      <c r="A195" s="326"/>
      <c r="B195" s="376" t="s">
        <v>1391</v>
      </c>
      <c r="C195" s="503">
        <v>2.3199999999999998</v>
      </c>
      <c r="D195" s="366" t="s">
        <v>1888</v>
      </c>
      <c r="E195" s="366"/>
      <c r="F195" s="366"/>
      <c r="G195" s="325"/>
    </row>
    <row r="196" spans="1:26" ht="17" customHeight="1" x14ac:dyDescent="0.35">
      <c r="A196" s="326"/>
      <c r="B196" s="376" t="s">
        <v>1392</v>
      </c>
      <c r="C196" s="503" t="s">
        <v>582</v>
      </c>
      <c r="D196" s="366" t="s">
        <v>1888</v>
      </c>
      <c r="E196" s="366"/>
      <c r="F196" s="366"/>
      <c r="G196" s="325"/>
    </row>
    <row r="197" spans="1:26" ht="17" customHeight="1" x14ac:dyDescent="0.35">
      <c r="A197" s="326"/>
      <c r="B197" s="376" t="s">
        <v>1393</v>
      </c>
      <c r="C197" s="503" t="s">
        <v>582</v>
      </c>
      <c r="D197" s="366" t="s">
        <v>1888</v>
      </c>
      <c r="E197" s="366"/>
      <c r="F197" s="366"/>
      <c r="G197" s="325"/>
    </row>
    <row r="198" spans="1:26" ht="17" customHeight="1" x14ac:dyDescent="0.35">
      <c r="A198" s="326"/>
      <c r="B198" s="370" t="s">
        <v>1378</v>
      </c>
      <c r="C198" s="504">
        <f>SUM(C192:C197)</f>
        <v>99.99</v>
      </c>
      <c r="D198" s="502" t="s">
        <v>1888</v>
      </c>
      <c r="E198" s="366"/>
      <c r="F198" s="366"/>
      <c r="G198" s="325"/>
    </row>
    <row r="199" spans="1:26" ht="17" customHeight="1" x14ac:dyDescent="0.35">
      <c r="A199" s="326"/>
      <c r="B199" s="325"/>
      <c r="C199" s="377"/>
      <c r="D199" s="366"/>
      <c r="E199" s="366"/>
      <c r="F199" s="366"/>
      <c r="G199" s="325"/>
    </row>
    <row r="200" spans="1:26" ht="17" customHeight="1" x14ac:dyDescent="0.35">
      <c r="A200" s="326"/>
      <c r="B200" s="369" t="s">
        <v>1371</v>
      </c>
      <c r="C200" s="369" t="s">
        <v>1367</v>
      </c>
      <c r="D200" s="369" t="s">
        <v>1369</v>
      </c>
      <c r="E200" s="369" t="s">
        <v>1368</v>
      </c>
      <c r="F200" s="369" t="s">
        <v>1481</v>
      </c>
      <c r="G200" s="369" t="s">
        <v>1482</v>
      </c>
    </row>
    <row r="201" spans="1:26" ht="17" customHeight="1" x14ac:dyDescent="0.35">
      <c r="A201" s="326"/>
      <c r="B201" s="355" t="s">
        <v>1394</v>
      </c>
      <c r="C201" s="506">
        <v>30.3</v>
      </c>
      <c r="D201" s="506">
        <v>39.39</v>
      </c>
      <c r="E201" s="506">
        <v>9.09</v>
      </c>
      <c r="F201" s="506" t="s">
        <v>582</v>
      </c>
      <c r="G201" s="506" t="s">
        <v>582</v>
      </c>
      <c r="Z201" t="s">
        <v>1888</v>
      </c>
    </row>
    <row r="202" spans="1:26" ht="17" customHeight="1" x14ac:dyDescent="0.35">
      <c r="A202" s="326"/>
      <c r="B202" s="355" t="s">
        <v>1395</v>
      </c>
      <c r="C202" s="506">
        <v>48.48</v>
      </c>
      <c r="D202" s="506">
        <v>27.27</v>
      </c>
      <c r="E202" s="506">
        <v>63.63</v>
      </c>
      <c r="F202" s="506" t="s">
        <v>582</v>
      </c>
      <c r="G202" s="506" t="s">
        <v>582</v>
      </c>
      <c r="Z202" t="s">
        <v>1888</v>
      </c>
    </row>
    <row r="203" spans="1:26" ht="17" customHeight="1" x14ac:dyDescent="0.35">
      <c r="A203" s="326"/>
      <c r="B203" s="355" t="s">
        <v>1396</v>
      </c>
      <c r="C203" s="506">
        <v>21.21</v>
      </c>
      <c r="D203" s="506">
        <v>27.27</v>
      </c>
      <c r="E203" s="506">
        <v>21.21</v>
      </c>
      <c r="F203" s="506" t="s">
        <v>582</v>
      </c>
      <c r="G203" s="506" t="s">
        <v>582</v>
      </c>
      <c r="Z203" t="s">
        <v>1888</v>
      </c>
    </row>
    <row r="204" spans="1:26" ht="17" customHeight="1" x14ac:dyDescent="0.35">
      <c r="A204" s="326"/>
      <c r="B204" s="378" t="s">
        <v>1397</v>
      </c>
      <c r="C204" s="506" t="s">
        <v>582</v>
      </c>
      <c r="D204" s="506">
        <v>6.06</v>
      </c>
      <c r="E204" s="506">
        <v>6.06</v>
      </c>
      <c r="F204" s="506" t="s">
        <v>582</v>
      </c>
      <c r="G204" s="506" t="s">
        <v>582</v>
      </c>
      <c r="Z204" t="s">
        <v>1888</v>
      </c>
    </row>
    <row r="205" spans="1:26" ht="17" customHeight="1" x14ac:dyDescent="0.35">
      <c r="A205" s="326"/>
      <c r="B205" s="378" t="s">
        <v>1398</v>
      </c>
      <c r="C205" s="506" t="s">
        <v>582</v>
      </c>
      <c r="D205" s="506" t="s">
        <v>582</v>
      </c>
      <c r="E205" s="506" t="s">
        <v>582</v>
      </c>
      <c r="F205" s="506" t="s">
        <v>582</v>
      </c>
      <c r="G205" s="506" t="s">
        <v>582</v>
      </c>
      <c r="Z205" t="s">
        <v>1888</v>
      </c>
    </row>
    <row r="206" spans="1:26" ht="17" customHeight="1" x14ac:dyDescent="0.35">
      <c r="A206" s="326"/>
      <c r="B206" s="355" t="s">
        <v>1399</v>
      </c>
      <c r="C206" s="506" t="s">
        <v>582</v>
      </c>
      <c r="D206" s="506" t="s">
        <v>582</v>
      </c>
      <c r="E206" s="506" t="s">
        <v>582</v>
      </c>
      <c r="F206" s="506" t="s">
        <v>582</v>
      </c>
      <c r="G206" s="506" t="s">
        <v>582</v>
      </c>
      <c r="Z206" t="s">
        <v>1888</v>
      </c>
    </row>
    <row r="207" spans="1:26" ht="17" customHeight="1" x14ac:dyDescent="0.35">
      <c r="A207" s="350"/>
      <c r="B207" s="370" t="s">
        <v>1378</v>
      </c>
      <c r="C207" s="501">
        <f>SUM(C201:C206)</f>
        <v>99.990000000000009</v>
      </c>
      <c r="D207" s="501">
        <f>SUM(D201:D206)</f>
        <v>99.99</v>
      </c>
      <c r="E207" s="507">
        <f>SUM(E201:E206)</f>
        <v>99.990000000000009</v>
      </c>
      <c r="F207" s="507">
        <f t="shared" ref="F207:G207" si="0">SUM(F201:F206)</f>
        <v>0</v>
      </c>
      <c r="G207" s="507">
        <f t="shared" si="0"/>
        <v>0</v>
      </c>
      <c r="Z207" s="505" t="s">
        <v>1888</v>
      </c>
    </row>
    <row r="208" spans="1:26" x14ac:dyDescent="0.35">
      <c r="A208" s="311"/>
      <c r="B208" s="313"/>
      <c r="C208" s="379"/>
      <c r="D208" s="379"/>
      <c r="E208" s="379"/>
      <c r="F208" s="313"/>
      <c r="G208" s="313"/>
    </row>
    <row r="209" spans="1:7" ht="41" customHeight="1" x14ac:dyDescent="0.35">
      <c r="A209" s="326" t="s">
        <v>1400</v>
      </c>
      <c r="B209" s="609" t="s">
        <v>1898</v>
      </c>
      <c r="C209" s="602"/>
      <c r="D209" s="602"/>
      <c r="E209" s="602"/>
      <c r="F209" s="602"/>
      <c r="G209" s="325"/>
    </row>
    <row r="210" spans="1:7" ht="17" customHeight="1" x14ac:dyDescent="0.35">
      <c r="A210" s="326"/>
      <c r="B210" s="625" t="s">
        <v>1361</v>
      </c>
      <c r="C210" s="625"/>
      <c r="D210" s="625"/>
      <c r="E210" s="381" t="s">
        <v>1889</v>
      </c>
      <c r="F210" s="356"/>
      <c r="G210" s="325"/>
    </row>
    <row r="211" spans="1:7" ht="17" customHeight="1" x14ac:dyDescent="0.35">
      <c r="A211" s="326"/>
      <c r="B211" s="626" t="s">
        <v>1401</v>
      </c>
      <c r="C211" s="626"/>
      <c r="D211" s="626"/>
      <c r="E211" s="487">
        <v>25</v>
      </c>
      <c r="F211" s="211"/>
      <c r="G211" s="325"/>
    </row>
    <row r="212" spans="1:7" ht="17" customHeight="1" x14ac:dyDescent="0.35">
      <c r="A212" s="326"/>
      <c r="B212" s="617" t="s">
        <v>1402</v>
      </c>
      <c r="C212" s="617"/>
      <c r="D212" s="617"/>
      <c r="E212" s="487">
        <v>53</v>
      </c>
      <c r="F212" s="211"/>
      <c r="G212" s="325"/>
    </row>
    <row r="213" spans="1:7" ht="17" customHeight="1" x14ac:dyDescent="0.35">
      <c r="A213" s="326"/>
      <c r="B213" s="617" t="s">
        <v>1403</v>
      </c>
      <c r="C213" s="617"/>
      <c r="D213" s="617"/>
      <c r="E213" s="487">
        <v>95</v>
      </c>
      <c r="F213" s="212" t="s">
        <v>1404</v>
      </c>
      <c r="G213" s="325"/>
    </row>
    <row r="214" spans="1:7" ht="17" customHeight="1" x14ac:dyDescent="0.35">
      <c r="A214" s="326"/>
      <c r="B214" s="617" t="s">
        <v>1405</v>
      </c>
      <c r="C214" s="617"/>
      <c r="D214" s="617"/>
      <c r="E214" s="487">
        <v>5</v>
      </c>
      <c r="F214" s="212" t="s">
        <v>1406</v>
      </c>
      <c r="G214" s="325"/>
    </row>
    <row r="215" spans="1:7" ht="17" customHeight="1" x14ac:dyDescent="0.35">
      <c r="A215" s="326"/>
      <c r="B215" s="617" t="s">
        <v>1407</v>
      </c>
      <c r="C215" s="617"/>
      <c r="D215" s="617"/>
      <c r="E215" s="487">
        <v>0</v>
      </c>
      <c r="F215" s="211"/>
      <c r="G215" s="325"/>
    </row>
    <row r="216" spans="1:7" ht="17" customHeight="1" x14ac:dyDescent="0.35">
      <c r="A216" s="326"/>
      <c r="B216" s="621" t="s">
        <v>1904</v>
      </c>
      <c r="C216" s="622"/>
      <c r="D216" s="622"/>
      <c r="E216" s="488">
        <v>51</v>
      </c>
      <c r="F216" s="213"/>
      <c r="G216" s="325"/>
    </row>
    <row r="217" spans="1:7" ht="17" customHeight="1" x14ac:dyDescent="0.35">
      <c r="A217" s="350"/>
      <c r="B217" s="325"/>
      <c r="C217" s="325"/>
      <c r="D217" s="325"/>
      <c r="E217" s="325"/>
      <c r="F217" s="319"/>
      <c r="G217" s="325"/>
    </row>
    <row r="218" spans="1:7" ht="17" customHeight="1" x14ac:dyDescent="0.35">
      <c r="A218" s="326" t="s">
        <v>1408</v>
      </c>
      <c r="B218" s="623" t="s">
        <v>1899</v>
      </c>
      <c r="C218" s="623"/>
      <c r="D218" s="623"/>
      <c r="E218" s="623"/>
      <c r="F218" s="623"/>
      <c r="G218" s="325"/>
    </row>
    <row r="219" spans="1:7" ht="17" customHeight="1" x14ac:dyDescent="0.35">
      <c r="A219" s="326"/>
      <c r="B219" s="349"/>
      <c r="C219" s="349"/>
      <c r="D219" s="349"/>
      <c r="E219" s="349"/>
      <c r="F219" s="349"/>
      <c r="G219" s="325"/>
    </row>
    <row r="220" spans="1:7" ht="17" customHeight="1" x14ac:dyDescent="0.35">
      <c r="A220" s="326"/>
      <c r="B220" s="624" t="s">
        <v>1371</v>
      </c>
      <c r="C220" s="624"/>
      <c r="D220" s="382" t="s">
        <v>1889</v>
      </c>
      <c r="E220" s="349"/>
      <c r="F220" s="349"/>
      <c r="G220" s="325"/>
    </row>
    <row r="221" spans="1:7" ht="17" customHeight="1" x14ac:dyDescent="0.35">
      <c r="A221" s="326"/>
      <c r="B221" s="620" t="s">
        <v>1409</v>
      </c>
      <c r="C221" s="620"/>
      <c r="D221" s="487">
        <v>30</v>
      </c>
      <c r="E221" s="325"/>
      <c r="F221" s="211"/>
      <c r="G221" s="325"/>
    </row>
    <row r="222" spans="1:7" ht="17" customHeight="1" x14ac:dyDescent="0.35">
      <c r="A222" s="326"/>
      <c r="B222" s="617" t="s">
        <v>1410</v>
      </c>
      <c r="C222" s="617"/>
      <c r="D222" s="487">
        <v>16</v>
      </c>
      <c r="E222" s="325"/>
      <c r="F222" s="211"/>
      <c r="G222" s="325"/>
    </row>
    <row r="223" spans="1:7" ht="17" customHeight="1" x14ac:dyDescent="0.35">
      <c r="A223" s="326"/>
      <c r="B223" s="617" t="s">
        <v>1411</v>
      </c>
      <c r="C223" s="617"/>
      <c r="D223" s="487">
        <v>19</v>
      </c>
      <c r="E223" s="325"/>
      <c r="F223" s="211"/>
      <c r="G223" s="325"/>
    </row>
    <row r="224" spans="1:7" ht="17" customHeight="1" x14ac:dyDescent="0.35">
      <c r="A224" s="326"/>
      <c r="B224" s="617" t="s">
        <v>1412</v>
      </c>
      <c r="C224" s="617"/>
      <c r="D224" s="487">
        <v>15</v>
      </c>
      <c r="E224" s="325"/>
      <c r="F224" s="211"/>
      <c r="G224" s="325"/>
    </row>
    <row r="225" spans="1:7" ht="17" customHeight="1" x14ac:dyDescent="0.35">
      <c r="A225" s="326"/>
      <c r="B225" s="617" t="s">
        <v>1413</v>
      </c>
      <c r="C225" s="617"/>
      <c r="D225" s="487">
        <v>10</v>
      </c>
      <c r="E225" s="325"/>
      <c r="F225" s="211"/>
      <c r="G225" s="325"/>
    </row>
    <row r="226" spans="1:7" ht="17" customHeight="1" x14ac:dyDescent="0.35">
      <c r="A226" s="326"/>
      <c r="B226" s="617" t="s">
        <v>1414</v>
      </c>
      <c r="C226" s="617"/>
      <c r="D226" s="487">
        <v>10</v>
      </c>
      <c r="E226" s="325"/>
      <c r="F226" s="211"/>
      <c r="G226" s="325"/>
    </row>
    <row r="227" spans="1:7" ht="17" customHeight="1" x14ac:dyDescent="0.35">
      <c r="A227" s="326"/>
      <c r="B227" s="617" t="s">
        <v>1415</v>
      </c>
      <c r="C227" s="617"/>
      <c r="D227" s="487"/>
      <c r="E227" s="325"/>
      <c r="F227" s="211"/>
      <c r="G227" s="325"/>
    </row>
    <row r="228" spans="1:7" ht="17" customHeight="1" x14ac:dyDescent="0.35">
      <c r="A228" s="326"/>
      <c r="B228" s="617" t="s">
        <v>1416</v>
      </c>
      <c r="C228" s="617"/>
      <c r="D228" s="487"/>
      <c r="E228" s="325"/>
      <c r="F228" s="211"/>
      <c r="G228" s="325"/>
    </row>
    <row r="229" spans="1:7" ht="17" customHeight="1" x14ac:dyDescent="0.35">
      <c r="A229" s="326"/>
      <c r="B229" s="617" t="s">
        <v>1417</v>
      </c>
      <c r="C229" s="617"/>
      <c r="D229" s="487"/>
      <c r="E229" s="325"/>
      <c r="F229" s="211"/>
      <c r="G229" s="325"/>
    </row>
    <row r="230" spans="1:7" ht="17" customHeight="1" x14ac:dyDescent="0.35">
      <c r="A230" s="350"/>
      <c r="B230" s="618" t="s">
        <v>1378</v>
      </c>
      <c r="C230" s="619"/>
      <c r="D230" s="489">
        <f>SUM(D221:D229)</f>
        <v>100</v>
      </c>
      <c r="E230" s="363" t="s">
        <v>1888</v>
      </c>
      <c r="F230" s="325"/>
      <c r="G230" s="325"/>
    </row>
    <row r="231" spans="1:7" x14ac:dyDescent="0.35">
      <c r="A231" s="311"/>
      <c r="B231" s="383"/>
      <c r="C231" s="383"/>
      <c r="D231" s="384"/>
      <c r="E231" s="313"/>
      <c r="F231" s="313"/>
      <c r="G231" s="313"/>
    </row>
    <row r="232" spans="1:7" x14ac:dyDescent="0.35">
      <c r="A232" s="326" t="s">
        <v>1418</v>
      </c>
      <c r="B232" s="611" t="s">
        <v>1900</v>
      </c>
      <c r="C232" s="612"/>
      <c r="D232" s="612"/>
      <c r="E232" s="509">
        <v>3.65</v>
      </c>
      <c r="F232" s="385"/>
      <c r="G232" s="325"/>
    </row>
    <row r="233" spans="1:7" x14ac:dyDescent="0.35">
      <c r="A233" s="326"/>
      <c r="B233" s="613" t="s">
        <v>1901</v>
      </c>
      <c r="C233" s="612"/>
      <c r="D233" s="612"/>
      <c r="E233" s="530">
        <v>100</v>
      </c>
      <c r="F233" s="490" t="s">
        <v>1888</v>
      </c>
      <c r="G233" s="325"/>
    </row>
    <row r="234" spans="1:7" x14ac:dyDescent="0.35">
      <c r="A234" s="350"/>
      <c r="B234" s="325"/>
      <c r="C234" s="325"/>
      <c r="D234" s="325"/>
      <c r="E234" s="325"/>
      <c r="F234" s="325"/>
      <c r="G234" s="325"/>
    </row>
    <row r="235" spans="1:7" ht="18" x14ac:dyDescent="0.4">
      <c r="A235" s="350"/>
      <c r="B235" s="290" t="s">
        <v>1419</v>
      </c>
      <c r="C235" s="325"/>
      <c r="D235" s="325"/>
      <c r="E235" s="325"/>
      <c r="F235" s="325"/>
      <c r="G235" s="325"/>
    </row>
    <row r="236" spans="1:7" x14ac:dyDescent="0.35">
      <c r="A236" s="350"/>
      <c r="B236" s="363"/>
      <c r="C236" s="325"/>
      <c r="D236" s="325"/>
      <c r="E236" s="325"/>
      <c r="F236" s="325"/>
      <c r="G236" s="325"/>
    </row>
    <row r="237" spans="1:7" ht="16.5" x14ac:dyDescent="0.35">
      <c r="A237" s="386" t="s">
        <v>1420</v>
      </c>
      <c r="B237" s="387" t="s">
        <v>1421</v>
      </c>
      <c r="C237" s="388"/>
      <c r="D237" s="388"/>
      <c r="E237" s="388"/>
      <c r="F237" s="388"/>
      <c r="G237" s="325"/>
    </row>
    <row r="238" spans="1:7" ht="25" customHeight="1" x14ac:dyDescent="0.35">
      <c r="A238" s="386"/>
      <c r="B238" s="614" t="s">
        <v>1894</v>
      </c>
      <c r="C238" s="614"/>
      <c r="D238" s="614"/>
      <c r="E238" s="614"/>
      <c r="F238" s="614"/>
      <c r="G238" s="325"/>
    </row>
    <row r="239" spans="1:7" x14ac:dyDescent="0.35">
      <c r="A239" s="326"/>
      <c r="B239" s="363"/>
      <c r="C239" s="325"/>
      <c r="D239" s="325"/>
      <c r="E239" s="325"/>
      <c r="F239" s="325"/>
      <c r="G239" s="325"/>
    </row>
    <row r="240" spans="1:7" ht="22" customHeight="1" x14ac:dyDescent="0.35">
      <c r="A240" s="326"/>
      <c r="B240" s="363"/>
      <c r="C240" s="325"/>
      <c r="D240" s="338" t="s">
        <v>1108</v>
      </c>
      <c r="E240" s="319"/>
      <c r="F240" s="325"/>
      <c r="G240" s="325"/>
    </row>
    <row r="241" spans="1:9" ht="29" customHeight="1" x14ac:dyDescent="0.35">
      <c r="A241" s="326"/>
      <c r="B241" s="615" t="s">
        <v>1422</v>
      </c>
      <c r="C241" s="615"/>
      <c r="D241" s="405" t="s">
        <v>1986</v>
      </c>
      <c r="E241" s="390"/>
      <c r="F241" s="353"/>
      <c r="G241" s="344"/>
      <c r="H241" t="str" cm="1">
        <f t="array" ref="H241">_xlfn.IFS($D$241="YES", "Yes", $D$241="yes", "Yes", $D$241="Yes", "Yes", $D$241="NO", "No", $D$241="no", "No", $D$241="No", "No")</f>
        <v>No</v>
      </c>
    </row>
    <row r="242" spans="1:9" ht="16.5" x14ac:dyDescent="0.35">
      <c r="A242" s="326"/>
      <c r="B242" s="389"/>
      <c r="C242" s="389"/>
      <c r="D242" s="391"/>
      <c r="E242" s="391"/>
      <c r="F242" s="391"/>
      <c r="G242" s="344"/>
    </row>
    <row r="243" spans="1:9" ht="16.5" x14ac:dyDescent="0.35">
      <c r="A243" s="326"/>
      <c r="B243" s="616" t="s">
        <v>1423</v>
      </c>
      <c r="C243" s="616"/>
      <c r="D243" s="415" t="s">
        <v>582</v>
      </c>
      <c r="E243" s="364"/>
      <c r="F243" s="325"/>
      <c r="G243" s="344"/>
    </row>
    <row r="244" spans="1:9" x14ac:dyDescent="0.35">
      <c r="A244" s="326"/>
      <c r="B244" s="353"/>
      <c r="C244" s="323"/>
      <c r="D244" s="323"/>
      <c r="E244" s="325"/>
      <c r="F244" s="325"/>
      <c r="G244" s="344"/>
    </row>
    <row r="245" spans="1:9" ht="23" customHeight="1" x14ac:dyDescent="0.35">
      <c r="A245" s="326"/>
      <c r="B245" s="353"/>
      <c r="C245" s="323"/>
      <c r="D245" s="338" t="s">
        <v>1108</v>
      </c>
      <c r="E245" s="319"/>
      <c r="F245" s="325"/>
      <c r="G245" s="344"/>
    </row>
    <row r="246" spans="1:9" ht="27" customHeight="1" x14ac:dyDescent="0.35">
      <c r="A246" s="326"/>
      <c r="B246" s="608" t="s">
        <v>1424</v>
      </c>
      <c r="C246" s="608"/>
      <c r="D246" s="405" t="s">
        <v>582</v>
      </c>
      <c r="E246" s="390"/>
      <c r="F246" s="315"/>
      <c r="G246" s="325"/>
      <c r="H246" t="e" cm="1">
        <f t="array" ref="H246">_xlfn.IFS($D$246="YES", "Yes", $D$246="yes", "Yes", $D$246="Yes", "Yes", $D$246="NO", "No", $D$246="no", "No", $D$246="No", "No")</f>
        <v>#N/A</v>
      </c>
    </row>
    <row r="247" spans="1:9" x14ac:dyDescent="0.35">
      <c r="A247" s="326"/>
      <c r="B247" s="356"/>
      <c r="C247" s="323"/>
      <c r="D247" s="323"/>
      <c r="E247" s="325"/>
      <c r="F247" s="319"/>
      <c r="G247" s="325"/>
    </row>
    <row r="248" spans="1:9" ht="24" customHeight="1" x14ac:dyDescent="0.35">
      <c r="A248" s="326"/>
      <c r="B248" s="609" t="s">
        <v>1425</v>
      </c>
      <c r="C248" s="609"/>
      <c r="D248" s="609"/>
      <c r="E248" s="609"/>
      <c r="F248" s="609"/>
      <c r="G248" s="325"/>
    </row>
    <row r="249" spans="1:9" x14ac:dyDescent="0.35">
      <c r="A249" s="323" t="s">
        <v>582</v>
      </c>
      <c r="B249" s="322" t="s">
        <v>1426</v>
      </c>
      <c r="C249" s="392"/>
      <c r="D249" s="323"/>
      <c r="E249" s="325"/>
      <c r="F249" s="319"/>
      <c r="G249" s="414">
        <v>0</v>
      </c>
    </row>
    <row r="250" spans="1:9" x14ac:dyDescent="0.35">
      <c r="A250" s="323"/>
      <c r="B250" s="322" t="s">
        <v>1427</v>
      </c>
      <c r="C250" s="392"/>
      <c r="D250" s="323"/>
      <c r="E250" s="325"/>
      <c r="F250" s="319"/>
      <c r="G250" s="404"/>
      <c r="I250" t="e" cm="1">
        <f t="array" ref="I250">_xlfn.IFS($G$249=1, "Same fee", $G$249=2, "Free", $G$249=3, "Reduced")</f>
        <v>#N/A</v>
      </c>
    </row>
    <row r="251" spans="1:9" x14ac:dyDescent="0.35">
      <c r="A251" s="323"/>
      <c r="B251" s="322" t="s">
        <v>1428</v>
      </c>
      <c r="C251" s="392"/>
      <c r="D251" s="323"/>
      <c r="E251" s="325"/>
      <c r="F251" s="319"/>
      <c r="G251" s="404"/>
    </row>
    <row r="252" spans="1:9" ht="22" customHeight="1" x14ac:dyDescent="0.35">
      <c r="A252" s="326"/>
      <c r="B252" s="353"/>
      <c r="C252" s="323"/>
      <c r="D252" s="338" t="s">
        <v>1108</v>
      </c>
      <c r="E252" s="319"/>
      <c r="F252" s="319"/>
      <c r="G252" s="403"/>
    </row>
    <row r="253" spans="1:9" ht="28" customHeight="1" x14ac:dyDescent="0.35">
      <c r="A253" s="326"/>
      <c r="B253" s="609" t="s">
        <v>1429</v>
      </c>
      <c r="C253" s="610"/>
      <c r="D253" s="405" t="s">
        <v>582</v>
      </c>
      <c r="E253" s="390"/>
      <c r="F253" s="319"/>
      <c r="G253" s="403"/>
      <c r="H253" t="e" cm="1">
        <f t="array" ref="H253">_xlfn.IFS($D$253="YES", "Yes", $D$253="yes", "Yes", $D$253="Yes", "Yes", $D$253="NO", "No", $D$253="no", "No", $D$253="No", "No")</f>
        <v>#N/A</v>
      </c>
    </row>
    <row r="254" spans="1:9" x14ac:dyDescent="0.35">
      <c r="A254" s="350"/>
      <c r="B254" s="356"/>
      <c r="C254" s="323"/>
      <c r="D254" s="323"/>
      <c r="E254" s="325"/>
      <c r="F254" s="319"/>
      <c r="G254" s="403"/>
    </row>
    <row r="255" spans="1:9" x14ac:dyDescent="0.35">
      <c r="A255" s="326" t="s">
        <v>1430</v>
      </c>
      <c r="B255" s="363" t="s">
        <v>1431</v>
      </c>
      <c r="C255" s="325"/>
      <c r="D255" s="325"/>
      <c r="E255" s="325"/>
      <c r="F255" s="325"/>
      <c r="G255" s="403"/>
    </row>
    <row r="256" spans="1:9" ht="23" customHeight="1" x14ac:dyDescent="0.35">
      <c r="A256" s="326"/>
      <c r="B256" s="353"/>
      <c r="C256" s="323"/>
      <c r="D256" s="338" t="s">
        <v>1108</v>
      </c>
      <c r="E256" s="319"/>
      <c r="F256" s="325"/>
      <c r="G256" s="403"/>
    </row>
    <row r="257" spans="1:8" ht="30" customHeight="1" x14ac:dyDescent="0.35">
      <c r="A257" s="326"/>
      <c r="B257" s="602" t="s">
        <v>1432</v>
      </c>
      <c r="C257" s="602"/>
      <c r="D257" s="405" t="s">
        <v>1987</v>
      </c>
      <c r="E257" s="390"/>
      <c r="F257" s="319"/>
      <c r="G257" s="403"/>
      <c r="H257" t="str" cm="1">
        <f t="array" ref="H257">_xlfn.IFS($D$257="YES", "Yes", $D$257="yes", "Yes", $D$257="Yes", "Yes", $D$257="NO", "No", $D$257="no", "No", $D$257="No", "No")</f>
        <v>Yes</v>
      </c>
    </row>
    <row r="258" spans="1:8" x14ac:dyDescent="0.35">
      <c r="A258" s="326"/>
      <c r="B258" s="353"/>
      <c r="C258" s="393"/>
      <c r="D258" s="325"/>
      <c r="E258" s="325"/>
      <c r="F258" s="325"/>
      <c r="G258" s="403"/>
    </row>
    <row r="259" spans="1:8" ht="18" customHeight="1" x14ac:dyDescent="0.35">
      <c r="A259" s="326"/>
      <c r="B259" s="394"/>
      <c r="C259" s="395" t="s">
        <v>1433</v>
      </c>
      <c r="D259" s="325"/>
      <c r="E259" s="325"/>
      <c r="F259" s="325"/>
      <c r="G259" s="403"/>
    </row>
    <row r="260" spans="1:8" ht="18" customHeight="1" x14ac:dyDescent="0.35">
      <c r="A260" s="326"/>
      <c r="B260" s="333" t="s">
        <v>1434</v>
      </c>
      <c r="C260" s="522">
        <v>44986</v>
      </c>
      <c r="D260" s="325"/>
      <c r="E260" s="325"/>
      <c r="F260" s="325"/>
      <c r="G260" s="403"/>
    </row>
    <row r="261" spans="1:8" ht="18" customHeight="1" x14ac:dyDescent="0.35">
      <c r="A261" s="326"/>
      <c r="B261" s="333" t="s">
        <v>472</v>
      </c>
      <c r="C261" s="522">
        <v>45231</v>
      </c>
      <c r="D261" s="325"/>
      <c r="E261" s="325"/>
      <c r="F261" s="325"/>
      <c r="G261" s="403"/>
    </row>
    <row r="262" spans="1:8" x14ac:dyDescent="0.35">
      <c r="A262" s="326"/>
      <c r="B262" s="353"/>
      <c r="C262" s="393"/>
      <c r="D262" s="325"/>
      <c r="E262" s="325"/>
      <c r="F262" s="325"/>
      <c r="G262" s="403"/>
    </row>
    <row r="263" spans="1:8" x14ac:dyDescent="0.35">
      <c r="A263" s="350"/>
      <c r="B263" s="353"/>
      <c r="C263" s="325"/>
      <c r="D263" s="325"/>
      <c r="E263" s="325"/>
      <c r="F263" s="325"/>
      <c r="G263" s="403"/>
    </row>
    <row r="264" spans="1:8" ht="26" customHeight="1" x14ac:dyDescent="0.35">
      <c r="A264" s="326"/>
      <c r="B264" s="354"/>
      <c r="C264" s="325"/>
      <c r="D264" s="338" t="s">
        <v>1108</v>
      </c>
      <c r="E264" s="323"/>
      <c r="F264" s="323"/>
      <c r="G264" s="403"/>
    </row>
    <row r="265" spans="1:8" ht="26" customHeight="1" x14ac:dyDescent="0.35">
      <c r="A265" s="326" t="s">
        <v>1435</v>
      </c>
      <c r="B265" s="380" t="s">
        <v>1436</v>
      </c>
      <c r="C265" s="380"/>
      <c r="D265" s="412" t="s">
        <v>1987</v>
      </c>
      <c r="E265" s="323"/>
      <c r="F265" s="323"/>
      <c r="G265" s="403"/>
      <c r="H265" t="str" cm="1">
        <f t="array" ref="H265">_xlfn.IFS($D$265="YES", "Yes", $D$265="yes", "Yes", $D$265="Yes", "Yes", $D$265="NO", "No", $D$265="no", "No", $D$265="No", "No")</f>
        <v>Yes</v>
      </c>
    </row>
    <row r="266" spans="1:8" x14ac:dyDescent="0.35">
      <c r="A266" s="350"/>
      <c r="B266" s="325"/>
      <c r="C266" s="325"/>
      <c r="D266" s="325"/>
      <c r="E266" s="325"/>
      <c r="F266" s="325"/>
      <c r="G266" s="403"/>
    </row>
    <row r="267" spans="1:8" x14ac:dyDescent="0.35">
      <c r="A267" s="326" t="s">
        <v>1437</v>
      </c>
      <c r="B267" s="354" t="s">
        <v>1475</v>
      </c>
      <c r="C267" s="325"/>
      <c r="D267" s="325"/>
      <c r="E267" s="325"/>
      <c r="F267" s="325"/>
      <c r="G267" s="403"/>
    </row>
    <row r="268" spans="1:8" x14ac:dyDescent="0.35">
      <c r="A268" s="326"/>
      <c r="B268" s="354"/>
      <c r="C268" s="325"/>
      <c r="D268" s="325"/>
      <c r="E268" s="325"/>
      <c r="F268" s="325"/>
      <c r="G268" s="403"/>
    </row>
    <row r="269" spans="1:8" ht="17" customHeight="1" x14ac:dyDescent="0.35">
      <c r="A269" s="323"/>
      <c r="B269" s="322" t="s">
        <v>1438</v>
      </c>
      <c r="C269" s="523" t="s">
        <v>582</v>
      </c>
      <c r="D269" s="325"/>
      <c r="E269" s="325"/>
      <c r="F269" s="325"/>
      <c r="G269" s="404" t="b">
        <v>0</v>
      </c>
      <c r="H269" t="str" cm="1">
        <f t="array" ref="H269">_xlfn.IFS($G$269=TRUE, "Yes", $G$269=FALSE, "No")</f>
        <v>No</v>
      </c>
    </row>
    <row r="270" spans="1:8" ht="17" customHeight="1" x14ac:dyDescent="0.35">
      <c r="A270" s="323"/>
      <c r="B270" s="316" t="s">
        <v>1439</v>
      </c>
      <c r="C270" s="524">
        <v>45017</v>
      </c>
      <c r="D270" s="325"/>
      <c r="E270" s="325"/>
      <c r="F270" s="325"/>
      <c r="G270" s="404" t="b">
        <v>1</v>
      </c>
    </row>
    <row r="271" spans="1:8" ht="17" customHeight="1" x14ac:dyDescent="0.35">
      <c r="A271" s="323"/>
      <c r="B271" s="316" t="s">
        <v>1440</v>
      </c>
      <c r="C271" s="411" t="s">
        <v>582</v>
      </c>
      <c r="D271" s="325"/>
      <c r="E271" s="325"/>
      <c r="F271" s="325"/>
      <c r="G271" s="404" t="b">
        <v>0</v>
      </c>
    </row>
    <row r="272" spans="1:8" x14ac:dyDescent="0.35">
      <c r="A272" s="350"/>
      <c r="B272" s="325"/>
      <c r="C272" s="325"/>
      <c r="D272" s="325"/>
      <c r="E272" s="325"/>
      <c r="F272" s="325"/>
      <c r="G272" s="403"/>
    </row>
    <row r="273" spans="1:10" x14ac:dyDescent="0.35">
      <c r="A273" s="326" t="s">
        <v>1441</v>
      </c>
      <c r="B273" s="363" t="s">
        <v>1476</v>
      </c>
      <c r="C273" s="325"/>
      <c r="D273" s="325"/>
      <c r="E273" s="325"/>
      <c r="F273" s="325"/>
      <c r="G273" s="403"/>
      <c r="H273" s="162">
        <v>3</v>
      </c>
    </row>
    <row r="274" spans="1:10" x14ac:dyDescent="0.35">
      <c r="A274" s="326"/>
      <c r="B274" s="349"/>
      <c r="C274" s="393"/>
      <c r="D274" s="325"/>
      <c r="E274" s="325"/>
      <c r="F274" s="325"/>
      <c r="G274" s="403"/>
      <c r="J274" t="str" cm="1">
        <f t="array" ref="J274">_xlfn.IFS($H$273=1, "Must reply by set date", $H$273=2, "No set date", $H$273=3, "Must reply by May 1st (or within set number of weeks if notified thereafter)", $H$273=4, "")</f>
        <v>Must reply by May 1st (or within set number of weeks if notified thereafter)</v>
      </c>
    </row>
    <row r="275" spans="1:10" ht="17" customHeight="1" x14ac:dyDescent="0.35">
      <c r="A275" s="323"/>
      <c r="B275" s="322" t="s">
        <v>1442</v>
      </c>
      <c r="C275" s="523" t="s">
        <v>582</v>
      </c>
      <c r="D275" s="325"/>
      <c r="E275" s="325"/>
      <c r="F275" s="325"/>
      <c r="G275" s="404"/>
    </row>
    <row r="276" spans="1:10" ht="17" customHeight="1" x14ac:dyDescent="0.35">
      <c r="A276" s="323"/>
      <c r="B276" s="316" t="s">
        <v>1443</v>
      </c>
      <c r="C276" s="534" t="s">
        <v>582</v>
      </c>
      <c r="D276" s="325"/>
      <c r="E276" s="325"/>
      <c r="F276" s="325"/>
      <c r="G276" s="404"/>
    </row>
    <row r="277" spans="1:10" ht="17" customHeight="1" x14ac:dyDescent="0.35">
      <c r="A277" s="323"/>
      <c r="B277" s="316" t="s">
        <v>1444</v>
      </c>
      <c r="C277" s="410">
        <v>2</v>
      </c>
      <c r="D277" s="317" t="s">
        <v>1445</v>
      </c>
      <c r="E277" s="325"/>
      <c r="F277" s="325"/>
      <c r="G277" s="404"/>
    </row>
    <row r="278" spans="1:10" ht="17" customHeight="1" x14ac:dyDescent="0.35">
      <c r="A278" s="323"/>
      <c r="B278" s="316" t="s">
        <v>407</v>
      </c>
      <c r="C278" s="411"/>
      <c r="D278" s="325"/>
      <c r="E278" s="325"/>
      <c r="F278" s="325"/>
      <c r="G278" s="404"/>
    </row>
    <row r="279" spans="1:10" ht="17" customHeight="1" x14ac:dyDescent="0.35">
      <c r="A279" s="326"/>
      <c r="B279" s="605"/>
      <c r="C279" s="606"/>
      <c r="D279" s="393"/>
      <c r="E279" s="325"/>
      <c r="F279" s="325"/>
    </row>
    <row r="280" spans="1:10" ht="17" customHeight="1" x14ac:dyDescent="0.35">
      <c r="A280" s="326"/>
      <c r="B280" s="391" t="s">
        <v>1446</v>
      </c>
      <c r="C280" s="523" t="s">
        <v>582</v>
      </c>
      <c r="D280" s="396"/>
      <c r="E280" s="325"/>
      <c r="F280" s="325"/>
    </row>
    <row r="281" spans="1:10" ht="29" customHeight="1" x14ac:dyDescent="0.35">
      <c r="A281" s="326"/>
      <c r="B281" s="353" t="s">
        <v>1447</v>
      </c>
      <c r="C281" s="216" t="s">
        <v>582</v>
      </c>
      <c r="D281" s="325"/>
      <c r="E281" s="325"/>
      <c r="F281" s="325"/>
    </row>
    <row r="282" spans="1:10" ht="17" customHeight="1" x14ac:dyDescent="0.35">
      <c r="A282" s="326"/>
      <c r="B282" s="353"/>
      <c r="C282" s="325"/>
      <c r="D282" s="325"/>
      <c r="E282" s="325"/>
      <c r="F282" s="325"/>
    </row>
    <row r="283" spans="1:10" ht="17" customHeight="1" x14ac:dyDescent="0.35">
      <c r="A283" s="326"/>
      <c r="B283" s="391" t="s">
        <v>1448</v>
      </c>
      <c r="C283" s="397"/>
      <c r="D283" s="325"/>
      <c r="E283" s="325"/>
      <c r="F283" s="325"/>
    </row>
    <row r="284" spans="1:10" ht="4" customHeight="1" x14ac:dyDescent="0.35">
      <c r="A284" s="326"/>
      <c r="B284" s="391"/>
      <c r="C284" s="397"/>
      <c r="D284" s="325"/>
      <c r="E284" s="325"/>
      <c r="F284" s="325"/>
    </row>
    <row r="285" spans="1:10" ht="17" customHeight="1" x14ac:dyDescent="0.35">
      <c r="A285" s="323"/>
      <c r="B285" s="316" t="s">
        <v>1449</v>
      </c>
      <c r="C285" s="397"/>
      <c r="D285" s="325"/>
      <c r="E285" s="325"/>
      <c r="F285" s="325"/>
      <c r="G285" s="185">
        <v>0</v>
      </c>
      <c r="H285" t="e" cm="1">
        <f t="array" ref="H285">_xlfn.IFS($G$285=1, "Yes, in full", $G$285=2, "Yes, in part", $G$285=3, "No")</f>
        <v>#N/A</v>
      </c>
    </row>
    <row r="286" spans="1:10" ht="17" customHeight="1" x14ac:dyDescent="0.35">
      <c r="A286" s="323"/>
      <c r="B286" s="316" t="s">
        <v>1450</v>
      </c>
      <c r="C286" s="397"/>
      <c r="D286" s="325"/>
      <c r="E286" s="325"/>
      <c r="F286" s="325"/>
    </row>
    <row r="287" spans="1:10" ht="17" customHeight="1" x14ac:dyDescent="0.35">
      <c r="A287" s="323"/>
      <c r="B287" s="316" t="s">
        <v>144</v>
      </c>
      <c r="C287" s="397"/>
      <c r="D287" s="325"/>
      <c r="E287" s="325"/>
      <c r="F287" s="325"/>
    </row>
    <row r="288" spans="1:10" x14ac:dyDescent="0.35">
      <c r="A288" s="350"/>
      <c r="B288" s="325"/>
      <c r="C288" s="325"/>
      <c r="D288" s="325"/>
      <c r="E288" s="325"/>
      <c r="F288" s="325"/>
    </row>
    <row r="289" spans="1:8" x14ac:dyDescent="0.35">
      <c r="A289" s="326" t="s">
        <v>1451</v>
      </c>
      <c r="B289" s="363" t="s">
        <v>1452</v>
      </c>
      <c r="C289" s="325"/>
      <c r="D289" s="325"/>
      <c r="E289" s="325"/>
      <c r="F289" s="325"/>
    </row>
    <row r="290" spans="1:8" ht="26" customHeight="1" x14ac:dyDescent="0.35">
      <c r="A290" s="326"/>
      <c r="B290" s="354"/>
      <c r="C290" s="325"/>
      <c r="D290" s="338" t="s">
        <v>1108</v>
      </c>
      <c r="E290" s="323"/>
      <c r="F290" s="323"/>
    </row>
    <row r="291" spans="1:8" ht="42" customHeight="1" x14ac:dyDescent="0.35">
      <c r="A291" s="326"/>
      <c r="B291" s="356" t="s">
        <v>1453</v>
      </c>
      <c r="C291" s="356"/>
      <c r="D291" s="412" t="s">
        <v>1987</v>
      </c>
      <c r="E291" s="323"/>
      <c r="F291" s="323"/>
      <c r="H291" t="str" cm="1">
        <f t="array" ref="H291">_xlfn.IFS($D$291="YES", "Yes", $D$291="yes", "Yes", $D$291="Yes", "Yes", $D$291="NO", "No", $D$291="no", "No", $D$291="No", "No")</f>
        <v>Yes</v>
      </c>
    </row>
    <row r="292" spans="1:8" ht="30" customHeight="1" x14ac:dyDescent="0.35">
      <c r="A292" s="326"/>
      <c r="B292" s="607" t="s">
        <v>1454</v>
      </c>
      <c r="C292" s="607"/>
      <c r="D292" s="410" t="s">
        <v>582</v>
      </c>
      <c r="E292" s="325"/>
      <c r="F292" s="319"/>
    </row>
    <row r="293" spans="1:8" x14ac:dyDescent="0.35">
      <c r="A293" s="350"/>
      <c r="B293" s="325"/>
      <c r="C293" s="325"/>
      <c r="D293" s="325"/>
      <c r="E293" s="325"/>
      <c r="F293" s="325"/>
    </row>
    <row r="294" spans="1:8" x14ac:dyDescent="0.35">
      <c r="A294" s="326" t="s">
        <v>1455</v>
      </c>
      <c r="B294" s="363" t="s">
        <v>1456</v>
      </c>
      <c r="C294" s="325"/>
      <c r="D294" s="325"/>
      <c r="E294" s="325"/>
      <c r="F294" s="325"/>
    </row>
    <row r="295" spans="1:8" ht="24" customHeight="1" x14ac:dyDescent="0.35">
      <c r="A295" s="326"/>
      <c r="B295" s="604"/>
      <c r="C295" s="604"/>
      <c r="D295" s="338" t="s">
        <v>1108</v>
      </c>
      <c r="E295" s="323"/>
      <c r="F295" s="323"/>
    </row>
    <row r="296" spans="1:8" ht="45" customHeight="1" x14ac:dyDescent="0.35">
      <c r="A296" s="326"/>
      <c r="B296" s="602" t="s">
        <v>1902</v>
      </c>
      <c r="C296" s="602"/>
      <c r="D296" s="412" t="s">
        <v>1986</v>
      </c>
      <c r="E296" s="323"/>
      <c r="F296" s="323"/>
      <c r="H296" t="str" cm="1">
        <f t="array" ref="H296">_xlfn.IFS($D$296="YES", "Yes", $D$296="yes", "Yes", $D$296="Yes", "Yes", $D$296="NO", "No", $D$296="no", "No", $D$296="No", "No")</f>
        <v>No</v>
      </c>
    </row>
    <row r="297" spans="1:8" x14ac:dyDescent="0.35">
      <c r="A297" s="350"/>
      <c r="B297" s="325"/>
      <c r="C297" s="325"/>
      <c r="D297" s="325"/>
      <c r="E297" s="325"/>
      <c r="F297" s="325"/>
    </row>
    <row r="298" spans="1:8" x14ac:dyDescent="0.35">
      <c r="A298" s="326" t="s">
        <v>1457</v>
      </c>
      <c r="B298" s="398" t="s">
        <v>1477</v>
      </c>
      <c r="C298" s="391"/>
      <c r="D298" s="399"/>
      <c r="E298" s="399"/>
      <c r="F298" s="399"/>
    </row>
    <row r="299" spans="1:8" x14ac:dyDescent="0.35">
      <c r="A299" s="350"/>
      <c r="B299" s="325"/>
      <c r="C299" s="325"/>
      <c r="D299" s="325"/>
      <c r="E299" s="325"/>
      <c r="F299" s="325"/>
    </row>
    <row r="300" spans="1:8" ht="18" x14ac:dyDescent="0.4">
      <c r="A300" s="350"/>
      <c r="B300" s="290" t="s">
        <v>1458</v>
      </c>
      <c r="C300" s="325"/>
      <c r="D300" s="325"/>
      <c r="E300" s="325"/>
      <c r="F300" s="325"/>
    </row>
    <row r="301" spans="1:8" x14ac:dyDescent="0.35">
      <c r="A301" s="350"/>
      <c r="B301" s="363"/>
      <c r="C301" s="325"/>
      <c r="D301" s="325"/>
      <c r="E301" s="325"/>
      <c r="F301" s="325"/>
    </row>
    <row r="302" spans="1:8" x14ac:dyDescent="0.35">
      <c r="A302" s="326" t="s">
        <v>1459</v>
      </c>
      <c r="B302" s="363" t="s">
        <v>1460</v>
      </c>
      <c r="C302" s="325"/>
      <c r="D302" s="325"/>
      <c r="E302" s="325"/>
      <c r="F302" s="325"/>
    </row>
    <row r="303" spans="1:8" ht="27" customHeight="1" x14ac:dyDescent="0.35">
      <c r="A303" s="326"/>
      <c r="B303" s="354"/>
      <c r="C303" s="325"/>
      <c r="D303" s="338" t="s">
        <v>1108</v>
      </c>
      <c r="E303" s="323"/>
      <c r="F303" s="323"/>
    </row>
    <row r="304" spans="1:8" ht="57" customHeight="1" x14ac:dyDescent="0.35">
      <c r="A304" s="326"/>
      <c r="B304" s="602" t="s">
        <v>1903</v>
      </c>
      <c r="C304" s="602"/>
      <c r="D304" s="412" t="s">
        <v>1986</v>
      </c>
      <c r="E304" s="323"/>
      <c r="F304" s="323"/>
      <c r="H304" t="str" cm="1">
        <f t="array" ref="H304">_xlfn.IFS($D$304="YES", "Yes", $D$304="yes", "Yes", $D$304="Yes", "Yes", $D$304="NO", "No", $D$304="no", "No", $D$304="No", "No")</f>
        <v>No</v>
      </c>
    </row>
    <row r="305" spans="1:8" ht="18" customHeight="1" x14ac:dyDescent="0.35">
      <c r="A305" s="326"/>
      <c r="B305" s="602" t="s">
        <v>1461</v>
      </c>
      <c r="C305" s="602"/>
      <c r="D305" s="602"/>
      <c r="E305" s="323"/>
      <c r="F305" s="323"/>
    </row>
    <row r="306" spans="1:8" ht="18" customHeight="1" x14ac:dyDescent="0.35">
      <c r="A306" s="326"/>
      <c r="B306" s="400" t="s">
        <v>1462</v>
      </c>
      <c r="C306" s="400"/>
      <c r="D306" s="523" t="s">
        <v>582</v>
      </c>
      <c r="E306" s="401"/>
      <c r="F306" s="323"/>
    </row>
    <row r="307" spans="1:8" ht="18" customHeight="1" x14ac:dyDescent="0.35">
      <c r="A307" s="326"/>
      <c r="B307" s="400" t="s">
        <v>1463</v>
      </c>
      <c r="C307" s="400"/>
      <c r="D307" s="523" t="s">
        <v>582</v>
      </c>
      <c r="E307" s="401"/>
      <c r="F307" s="323"/>
    </row>
    <row r="308" spans="1:8" ht="18" customHeight="1" x14ac:dyDescent="0.35">
      <c r="A308" s="326"/>
      <c r="B308" s="400" t="s">
        <v>1464</v>
      </c>
      <c r="C308" s="400"/>
      <c r="D308" s="523" t="s">
        <v>582</v>
      </c>
      <c r="E308" s="401"/>
      <c r="F308" s="323"/>
    </row>
    <row r="309" spans="1:8" ht="18" customHeight="1" x14ac:dyDescent="0.35">
      <c r="A309" s="326"/>
      <c r="B309" s="400" t="s">
        <v>1465</v>
      </c>
      <c r="C309" s="400"/>
      <c r="D309" s="523" t="s">
        <v>582</v>
      </c>
      <c r="E309" s="401"/>
      <c r="F309" s="323"/>
    </row>
    <row r="310" spans="1:8" x14ac:dyDescent="0.35">
      <c r="A310" s="326"/>
      <c r="B310" s="356"/>
      <c r="C310" s="356"/>
      <c r="D310" s="393"/>
      <c r="E310" s="393"/>
      <c r="F310" s="323"/>
    </row>
    <row r="311" spans="1:8" ht="16" customHeight="1" x14ac:dyDescent="0.35">
      <c r="A311" s="326"/>
      <c r="B311" s="380" t="s">
        <v>1852</v>
      </c>
      <c r="C311" s="380"/>
      <c r="D311" s="323"/>
      <c r="E311" s="323"/>
      <c r="F311" s="323"/>
    </row>
    <row r="312" spans="1:8" ht="16" customHeight="1" x14ac:dyDescent="0.35">
      <c r="A312" s="326"/>
      <c r="B312" s="356" t="s">
        <v>1466</v>
      </c>
      <c r="C312" s="356"/>
      <c r="D312" s="410"/>
      <c r="E312" s="401"/>
      <c r="F312" s="323"/>
    </row>
    <row r="313" spans="1:8" ht="29" customHeight="1" x14ac:dyDescent="0.35">
      <c r="A313" s="326"/>
      <c r="B313" s="356" t="s">
        <v>1467</v>
      </c>
      <c r="C313" s="356"/>
      <c r="D313" s="410"/>
      <c r="E313" s="401"/>
      <c r="F313" s="323"/>
    </row>
    <row r="314" spans="1:8" x14ac:dyDescent="0.35">
      <c r="A314" s="326"/>
      <c r="B314" s="602" t="s">
        <v>1468</v>
      </c>
      <c r="C314" s="602"/>
      <c r="D314" s="602"/>
      <c r="E314" s="602"/>
      <c r="F314" s="602"/>
    </row>
    <row r="315" spans="1:8" x14ac:dyDescent="0.35">
      <c r="A315" s="326"/>
      <c r="B315" s="603"/>
      <c r="C315" s="603"/>
      <c r="D315" s="603"/>
      <c r="E315" s="603"/>
      <c r="F315" s="603"/>
    </row>
    <row r="316" spans="1:8" x14ac:dyDescent="0.35">
      <c r="A316" s="350"/>
      <c r="B316" s="325"/>
      <c r="C316" s="325"/>
      <c r="D316" s="325"/>
      <c r="E316" s="325"/>
      <c r="F316" s="325"/>
    </row>
    <row r="317" spans="1:8" x14ac:dyDescent="0.35">
      <c r="A317" s="350"/>
      <c r="B317" s="325"/>
      <c r="C317" s="325"/>
      <c r="D317" s="325"/>
      <c r="E317" s="325"/>
      <c r="F317" s="325"/>
    </row>
    <row r="318" spans="1:8" x14ac:dyDescent="0.35">
      <c r="A318" s="326" t="s">
        <v>1469</v>
      </c>
      <c r="B318" s="363" t="s">
        <v>1470</v>
      </c>
      <c r="C318" s="325"/>
      <c r="D318" s="325"/>
      <c r="E318" s="325"/>
      <c r="F318" s="325"/>
    </row>
    <row r="319" spans="1:8" ht="24" customHeight="1" x14ac:dyDescent="0.35">
      <c r="A319" s="326"/>
      <c r="B319" s="354"/>
      <c r="C319" s="325"/>
      <c r="D319" s="338" t="s">
        <v>1108</v>
      </c>
      <c r="E319" s="323"/>
      <c r="F319" s="323"/>
    </row>
    <row r="320" spans="1:8" ht="45" customHeight="1" x14ac:dyDescent="0.35">
      <c r="A320" s="326"/>
      <c r="B320" s="602" t="s">
        <v>1471</v>
      </c>
      <c r="C320" s="602"/>
      <c r="D320" s="412" t="s">
        <v>1987</v>
      </c>
      <c r="E320" s="323"/>
      <c r="F320" s="323"/>
      <c r="H320" t="str" cm="1">
        <f t="array" ref="H320">_xlfn.IFS($D$320="YES", "Yes", $D$320="yes", "Yes", $D$320="Yes", "Yes", $D$320="NO", "No", $D$320="no", "No", $D$320="No", "No")</f>
        <v>Yes</v>
      </c>
    </row>
    <row r="321" spans="1:8" x14ac:dyDescent="0.35">
      <c r="A321" s="326"/>
      <c r="B321" s="600" t="s">
        <v>1461</v>
      </c>
      <c r="C321" s="600"/>
      <c r="D321" s="600"/>
      <c r="E321" s="323"/>
      <c r="F321" s="325"/>
    </row>
    <row r="322" spans="1:8" ht="25" customHeight="1" x14ac:dyDescent="0.35">
      <c r="A322" s="326"/>
      <c r="B322" s="601" t="s">
        <v>1472</v>
      </c>
      <c r="C322" s="601"/>
      <c r="D322" s="523" t="s">
        <v>582</v>
      </c>
      <c r="E322" s="393"/>
      <c r="F322" s="325"/>
    </row>
    <row r="323" spans="1:8" ht="33" customHeight="1" x14ac:dyDescent="0.35">
      <c r="A323" s="326"/>
      <c r="B323" s="601" t="s">
        <v>1473</v>
      </c>
      <c r="C323" s="601"/>
      <c r="D323" s="523" t="s">
        <v>582</v>
      </c>
      <c r="E323" s="393"/>
      <c r="F323" s="325"/>
    </row>
    <row r="324" spans="1:8" x14ac:dyDescent="0.35">
      <c r="A324" s="350"/>
      <c r="B324" s="325"/>
      <c r="C324" s="325"/>
      <c r="D324" s="325"/>
      <c r="E324" s="325"/>
      <c r="F324" s="325"/>
    </row>
    <row r="325" spans="1:8" ht="28" customHeight="1" x14ac:dyDescent="0.35">
      <c r="A325" s="350"/>
      <c r="B325" s="325"/>
      <c r="C325" s="325"/>
      <c r="D325" s="338" t="s">
        <v>1108</v>
      </c>
      <c r="E325" s="323"/>
      <c r="F325" s="323"/>
    </row>
    <row r="326" spans="1:8" ht="37" customHeight="1" x14ac:dyDescent="0.35">
      <c r="A326" s="326"/>
      <c r="B326" s="336" t="s">
        <v>1474</v>
      </c>
      <c r="C326" s="402"/>
      <c r="D326" s="412" t="s">
        <v>1986</v>
      </c>
      <c r="E326" s="323"/>
      <c r="F326" s="323"/>
      <c r="H326" t="str" cm="1">
        <f t="array" ref="H326">_xlfn.IFS($D$326="YES", "Yes", $D$326="yes", "Yes", $D$326="Yes", "Yes", $D$326="NO", "No", $D$326="no", "No", $D$326="No", "No")</f>
        <v>No</v>
      </c>
    </row>
    <row r="327" spans="1:8" x14ac:dyDescent="0.35">
      <c r="A327" s="350"/>
      <c r="B327" s="325"/>
      <c r="C327" s="325"/>
      <c r="D327" s="325"/>
      <c r="E327" s="325"/>
      <c r="F327" s="325"/>
    </row>
    <row r="328" spans="1:8" x14ac:dyDescent="0.35">
      <c r="A328" s="311"/>
      <c r="B328" s="413"/>
      <c r="C328" s="413"/>
      <c r="D328" s="413"/>
      <c r="E328" s="413"/>
      <c r="F328" s="413"/>
    </row>
    <row r="329" spans="1:8" x14ac:dyDescent="0.35">
      <c r="A329" s="311"/>
      <c r="B329" s="413"/>
      <c r="C329" s="413"/>
      <c r="D329" s="413"/>
      <c r="E329" s="413"/>
      <c r="F329" s="413"/>
    </row>
    <row r="330" spans="1:8" x14ac:dyDescent="0.35">
      <c r="A330" s="311"/>
      <c r="B330" s="413"/>
      <c r="C330" s="413"/>
      <c r="D330" s="413"/>
      <c r="E330" s="413"/>
      <c r="F330" s="413"/>
    </row>
    <row r="331" spans="1:8" x14ac:dyDescent="0.35">
      <c r="A331" s="311"/>
      <c r="B331" s="413"/>
      <c r="C331" s="413"/>
      <c r="D331" s="413"/>
      <c r="E331" s="413"/>
      <c r="F331" s="413"/>
    </row>
    <row r="332" spans="1:8" x14ac:dyDescent="0.35">
      <c r="A332" s="311"/>
      <c r="B332" s="413"/>
      <c r="C332" s="413"/>
      <c r="D332" s="413"/>
      <c r="E332" s="413"/>
      <c r="F332" s="413"/>
    </row>
    <row r="333" spans="1:8" x14ac:dyDescent="0.35">
      <c r="B333" s="162"/>
      <c r="C333" s="162"/>
      <c r="D333" s="162"/>
      <c r="E333" s="162"/>
      <c r="F333" s="162"/>
    </row>
    <row r="334" spans="1:8" x14ac:dyDescent="0.35">
      <c r="B334" s="162"/>
      <c r="C334" s="162"/>
      <c r="D334" s="162"/>
      <c r="E334" s="162"/>
      <c r="F334" s="162"/>
    </row>
    <row r="335" spans="1:8" x14ac:dyDescent="0.35">
      <c r="B335" s="162"/>
      <c r="C335" s="162"/>
      <c r="D335" s="162"/>
      <c r="E335" s="162"/>
      <c r="F335" s="162"/>
    </row>
  </sheetData>
  <sheetProtection algorithmName="SHA-512" hashValue="O6WMoQ98dBM9OdwTh09PEcaicElsiIqkdAxrE3Mw33fwqzr3T5m2MVWR98J1Eg03tuORMF5zfsMmY60NoQIXpw==" saltValue="LUmBTgS8ac2tkeSZ88SAuA==" spinCount="100000" sheet="1" objects="1" scenarios="1"/>
  <mergeCells count="111">
    <mergeCell ref="B7:F7"/>
    <mergeCell ref="B11:D11"/>
    <mergeCell ref="B12:D12"/>
    <mergeCell ref="B15:D15"/>
    <mergeCell ref="A1:F1"/>
    <mergeCell ref="A3:A4"/>
    <mergeCell ref="B3:F4"/>
    <mergeCell ref="B5:F5"/>
    <mergeCell ref="B6:F6"/>
    <mergeCell ref="B13:D13"/>
    <mergeCell ref="B8:E8"/>
    <mergeCell ref="B9:F9"/>
    <mergeCell ref="B114:D114"/>
    <mergeCell ref="B115:D116"/>
    <mergeCell ref="B122:D122"/>
    <mergeCell ref="B124:F124"/>
    <mergeCell ref="B125:B126"/>
    <mergeCell ref="C125:G125"/>
    <mergeCell ref="B16:D16"/>
    <mergeCell ref="B19:D19"/>
    <mergeCell ref="B42:D42"/>
    <mergeCell ref="B22:D22"/>
    <mergeCell ref="B23:D23"/>
    <mergeCell ref="B28:D28"/>
    <mergeCell ref="B29:D29"/>
    <mergeCell ref="B30:D30"/>
    <mergeCell ref="B32:F32"/>
    <mergeCell ref="B33:F33"/>
    <mergeCell ref="B20:D20"/>
    <mergeCell ref="B36:C36"/>
    <mergeCell ref="B38:D38"/>
    <mergeCell ref="B40:D40"/>
    <mergeCell ref="B41:D41"/>
    <mergeCell ref="B17:D17"/>
    <mergeCell ref="B25:D25"/>
    <mergeCell ref="B26:D26"/>
    <mergeCell ref="B56:D56"/>
    <mergeCell ref="B43:D43"/>
    <mergeCell ref="B44:D44"/>
    <mergeCell ref="B46:C46"/>
    <mergeCell ref="B47:C47"/>
    <mergeCell ref="B59:F59"/>
    <mergeCell ref="B82:F82"/>
    <mergeCell ref="B83:D83"/>
    <mergeCell ref="B84:D84"/>
    <mergeCell ref="B63:F65"/>
    <mergeCell ref="B85:D85"/>
    <mergeCell ref="B86:D86"/>
    <mergeCell ref="B88:F88"/>
    <mergeCell ref="B90:F90"/>
    <mergeCell ref="B121:D121"/>
    <mergeCell ref="B160:F160"/>
    <mergeCell ref="B166:G167"/>
    <mergeCell ref="B180:G180"/>
    <mergeCell ref="C132:D132"/>
    <mergeCell ref="C133:D133"/>
    <mergeCell ref="B155:F155"/>
    <mergeCell ref="B156:F156"/>
    <mergeCell ref="B157:F157"/>
    <mergeCell ref="B158:F158"/>
    <mergeCell ref="B159:F159"/>
    <mergeCell ref="B141:F141"/>
    <mergeCell ref="B143:D143"/>
    <mergeCell ref="C148:F148"/>
    <mergeCell ref="B152:F152"/>
    <mergeCell ref="B154:F154"/>
    <mergeCell ref="B135:E135"/>
    <mergeCell ref="B136:E136"/>
    <mergeCell ref="B138:C139"/>
    <mergeCell ref="D138:F139"/>
    <mergeCell ref="B214:D214"/>
    <mergeCell ref="B215:D215"/>
    <mergeCell ref="B216:D216"/>
    <mergeCell ref="B218:F218"/>
    <mergeCell ref="B220:C220"/>
    <mergeCell ref="B209:F209"/>
    <mergeCell ref="B210:D210"/>
    <mergeCell ref="B211:D211"/>
    <mergeCell ref="B212:D212"/>
    <mergeCell ref="B213:D213"/>
    <mergeCell ref="B226:C226"/>
    <mergeCell ref="B227:C227"/>
    <mergeCell ref="B228:C228"/>
    <mergeCell ref="B229:C229"/>
    <mergeCell ref="B230:C230"/>
    <mergeCell ref="B221:C221"/>
    <mergeCell ref="B222:C222"/>
    <mergeCell ref="B223:C223"/>
    <mergeCell ref="B224:C224"/>
    <mergeCell ref="B225:C225"/>
    <mergeCell ref="B295:C295"/>
    <mergeCell ref="B279:C279"/>
    <mergeCell ref="B292:C292"/>
    <mergeCell ref="B246:C246"/>
    <mergeCell ref="B248:F248"/>
    <mergeCell ref="B253:C253"/>
    <mergeCell ref="B257:C257"/>
    <mergeCell ref="B232:D232"/>
    <mergeCell ref="B233:D233"/>
    <mergeCell ref="B238:F238"/>
    <mergeCell ref="B241:C241"/>
    <mergeCell ref="B243:C243"/>
    <mergeCell ref="B321:D321"/>
    <mergeCell ref="B322:C322"/>
    <mergeCell ref="B323:C323"/>
    <mergeCell ref="B320:C320"/>
    <mergeCell ref="B314:F314"/>
    <mergeCell ref="B315:F315"/>
    <mergeCell ref="B305:D305"/>
    <mergeCell ref="B304:C304"/>
    <mergeCell ref="B296:C296"/>
  </mergeCells>
  <dataValidations count="2">
    <dataValidation type="textLength" operator="lessThanOrEqual" allowBlank="1" showInputMessage="1" showErrorMessage="1" sqref="E36 E45:E47 C133:D133 D241 D246 D253 D257 D326 D291 D296 D304 D320 D265" xr:uid="{DB451E99-F4CB-DB41-B335-A6BCEB2734AC}">
      <formula1>3</formula1>
    </dataValidation>
    <dataValidation type="textLength" allowBlank="1" showInputMessage="1" showErrorMessage="1" sqref="E122" xr:uid="{3A7F968A-D9D1-A44D-B729-F213FF5792B7}">
      <formula1>2</formula1>
      <formula2>3</formula2>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61" r:id="rId4" name="Drop Down 5">
              <controlPr defaultSize="0" autoLine="0" autoPict="0">
                <anchor moveWithCells="1">
                  <from>
                    <xdr:col>1</xdr:col>
                    <xdr:colOff>12700</xdr:colOff>
                    <xdr:row>60</xdr:row>
                    <xdr:rowOff>25400</xdr:rowOff>
                  </from>
                  <to>
                    <xdr:col>2</xdr:col>
                    <xdr:colOff>0</xdr:colOff>
                    <xdr:row>61</xdr:row>
                    <xdr:rowOff>12700</xdr:rowOff>
                  </to>
                </anchor>
              </controlPr>
            </control>
          </mc:Choice>
        </mc:AlternateContent>
        <mc:AlternateContent xmlns:mc="http://schemas.openxmlformats.org/markup-compatibility/2006">
          <mc:Choice Requires="x14">
            <control shapeId="19462" r:id="rId5" name="Drop Down 6">
              <controlPr defaultSize="0" autoLine="0" autoPict="0">
                <anchor moveWithCells="1">
                  <from>
                    <xdr:col>1</xdr:col>
                    <xdr:colOff>12700</xdr:colOff>
                    <xdr:row>51</xdr:row>
                    <xdr:rowOff>38100</xdr:rowOff>
                  </from>
                  <to>
                    <xdr:col>1</xdr:col>
                    <xdr:colOff>6870700</xdr:colOff>
                    <xdr:row>51</xdr:row>
                    <xdr:rowOff>355600</xdr:rowOff>
                  </to>
                </anchor>
              </controlPr>
            </control>
          </mc:Choice>
        </mc:AlternateContent>
        <mc:AlternateContent xmlns:mc="http://schemas.openxmlformats.org/markup-compatibility/2006">
          <mc:Choice Requires="x14">
            <control shapeId="19502" r:id="rId6" name="Check Box 46">
              <controlPr defaultSize="0" autoFill="0" autoLine="0" autoPict="0">
                <anchor moveWithCells="1">
                  <from>
                    <xdr:col>0</xdr:col>
                    <xdr:colOff>139700</xdr:colOff>
                    <xdr:row>140</xdr:row>
                    <xdr:rowOff>317500</xdr:rowOff>
                  </from>
                  <to>
                    <xdr:col>1</xdr:col>
                    <xdr:colOff>12700</xdr:colOff>
                    <xdr:row>142</xdr:row>
                    <xdr:rowOff>0</xdr:rowOff>
                  </to>
                </anchor>
              </controlPr>
            </control>
          </mc:Choice>
        </mc:AlternateContent>
        <mc:AlternateContent xmlns:mc="http://schemas.openxmlformats.org/markup-compatibility/2006">
          <mc:Choice Requires="x14">
            <control shapeId="19503" r:id="rId7" name="Check Box 47">
              <controlPr defaultSize="0" autoFill="0" autoLine="0" autoPict="0">
                <anchor moveWithCells="1">
                  <from>
                    <xdr:col>0</xdr:col>
                    <xdr:colOff>139700</xdr:colOff>
                    <xdr:row>141</xdr:row>
                    <xdr:rowOff>190500</xdr:rowOff>
                  </from>
                  <to>
                    <xdr:col>1</xdr:col>
                    <xdr:colOff>12700</xdr:colOff>
                    <xdr:row>143</xdr:row>
                    <xdr:rowOff>12700</xdr:rowOff>
                  </to>
                </anchor>
              </controlPr>
            </control>
          </mc:Choice>
        </mc:AlternateContent>
        <mc:AlternateContent xmlns:mc="http://schemas.openxmlformats.org/markup-compatibility/2006">
          <mc:Choice Requires="x14">
            <control shapeId="19504" r:id="rId8" name="Check Box 48">
              <controlPr defaultSize="0" autoFill="0" autoLine="0" autoPict="0">
                <anchor moveWithCells="1">
                  <from>
                    <xdr:col>0</xdr:col>
                    <xdr:colOff>139700</xdr:colOff>
                    <xdr:row>142</xdr:row>
                    <xdr:rowOff>190500</xdr:rowOff>
                  </from>
                  <to>
                    <xdr:col>1</xdr:col>
                    <xdr:colOff>12700</xdr:colOff>
                    <xdr:row>144</xdr:row>
                    <xdr:rowOff>12700</xdr:rowOff>
                  </to>
                </anchor>
              </controlPr>
            </control>
          </mc:Choice>
        </mc:AlternateContent>
        <mc:AlternateContent xmlns:mc="http://schemas.openxmlformats.org/markup-compatibility/2006">
          <mc:Choice Requires="x14">
            <control shapeId="19505" r:id="rId9" name="Check Box 49">
              <controlPr defaultSize="0" autoFill="0" autoLine="0" autoPict="0">
                <anchor moveWithCells="1">
                  <from>
                    <xdr:col>0</xdr:col>
                    <xdr:colOff>139700</xdr:colOff>
                    <xdr:row>143</xdr:row>
                    <xdr:rowOff>215900</xdr:rowOff>
                  </from>
                  <to>
                    <xdr:col>1</xdr:col>
                    <xdr:colOff>12700</xdr:colOff>
                    <xdr:row>145</xdr:row>
                    <xdr:rowOff>12700</xdr:rowOff>
                  </to>
                </anchor>
              </controlPr>
            </control>
          </mc:Choice>
        </mc:AlternateContent>
        <mc:AlternateContent xmlns:mc="http://schemas.openxmlformats.org/markup-compatibility/2006">
          <mc:Choice Requires="x14">
            <control shapeId="19506" r:id="rId10" name="Check Box 50">
              <controlPr defaultSize="0" autoFill="0" autoLine="0" autoPict="0">
                <anchor moveWithCells="1">
                  <from>
                    <xdr:col>0</xdr:col>
                    <xdr:colOff>139700</xdr:colOff>
                    <xdr:row>144</xdr:row>
                    <xdr:rowOff>215900</xdr:rowOff>
                  </from>
                  <to>
                    <xdr:col>1</xdr:col>
                    <xdr:colOff>12700</xdr:colOff>
                    <xdr:row>146</xdr:row>
                    <xdr:rowOff>12700</xdr:rowOff>
                  </to>
                </anchor>
              </controlPr>
            </control>
          </mc:Choice>
        </mc:AlternateContent>
        <mc:AlternateContent xmlns:mc="http://schemas.openxmlformats.org/markup-compatibility/2006">
          <mc:Choice Requires="x14">
            <control shapeId="19507" r:id="rId11" name="Check Box 51">
              <controlPr defaultSize="0" autoFill="0" autoLine="0" autoPict="0">
                <anchor moveWithCells="1">
                  <from>
                    <xdr:col>0</xdr:col>
                    <xdr:colOff>139700</xdr:colOff>
                    <xdr:row>145</xdr:row>
                    <xdr:rowOff>190500</xdr:rowOff>
                  </from>
                  <to>
                    <xdr:col>1</xdr:col>
                    <xdr:colOff>12700</xdr:colOff>
                    <xdr:row>146</xdr:row>
                    <xdr:rowOff>203200</xdr:rowOff>
                  </to>
                </anchor>
              </controlPr>
            </control>
          </mc:Choice>
        </mc:AlternateContent>
        <mc:AlternateContent xmlns:mc="http://schemas.openxmlformats.org/markup-compatibility/2006">
          <mc:Choice Requires="x14">
            <control shapeId="19508" r:id="rId12" name="Check Box 52">
              <controlPr defaultSize="0" autoFill="0" autoLine="0" autoPict="0">
                <anchor moveWithCells="1">
                  <from>
                    <xdr:col>0</xdr:col>
                    <xdr:colOff>139700</xdr:colOff>
                    <xdr:row>146</xdr:row>
                    <xdr:rowOff>190500</xdr:rowOff>
                  </from>
                  <to>
                    <xdr:col>1</xdr:col>
                    <xdr:colOff>12700</xdr:colOff>
                    <xdr:row>147</xdr:row>
                    <xdr:rowOff>203200</xdr:rowOff>
                  </to>
                </anchor>
              </controlPr>
            </control>
          </mc:Choice>
        </mc:AlternateContent>
        <mc:AlternateContent xmlns:mc="http://schemas.openxmlformats.org/markup-compatibility/2006">
          <mc:Choice Requires="x14">
            <control shapeId="19509" r:id="rId13" name="Check Box 53">
              <controlPr defaultSize="0" autoFill="0" autoLine="0" autoPict="0">
                <anchor moveWithCells="1">
                  <from>
                    <xdr:col>0</xdr:col>
                    <xdr:colOff>139700</xdr:colOff>
                    <xdr:row>268</xdr:row>
                    <xdr:rowOff>0</xdr:rowOff>
                  </from>
                  <to>
                    <xdr:col>1</xdr:col>
                    <xdr:colOff>12700</xdr:colOff>
                    <xdr:row>269</xdr:row>
                    <xdr:rowOff>0</xdr:rowOff>
                  </to>
                </anchor>
              </controlPr>
            </control>
          </mc:Choice>
        </mc:AlternateContent>
        <mc:AlternateContent xmlns:mc="http://schemas.openxmlformats.org/markup-compatibility/2006">
          <mc:Choice Requires="x14">
            <control shapeId="19510" r:id="rId14" name="Check Box 54">
              <controlPr defaultSize="0" autoFill="0" autoLine="0" autoPict="0">
                <anchor moveWithCells="1">
                  <from>
                    <xdr:col>0</xdr:col>
                    <xdr:colOff>139700</xdr:colOff>
                    <xdr:row>268</xdr:row>
                    <xdr:rowOff>203200</xdr:rowOff>
                  </from>
                  <to>
                    <xdr:col>1</xdr:col>
                    <xdr:colOff>12700</xdr:colOff>
                    <xdr:row>269</xdr:row>
                    <xdr:rowOff>203200</xdr:rowOff>
                  </to>
                </anchor>
              </controlPr>
            </control>
          </mc:Choice>
        </mc:AlternateContent>
        <mc:AlternateContent xmlns:mc="http://schemas.openxmlformats.org/markup-compatibility/2006">
          <mc:Choice Requires="x14">
            <control shapeId="19511" r:id="rId15" name="Check Box 55">
              <controlPr defaultSize="0" autoFill="0" autoLine="0" autoPict="0">
                <anchor moveWithCells="1">
                  <from>
                    <xdr:col>0</xdr:col>
                    <xdr:colOff>139700</xdr:colOff>
                    <xdr:row>269</xdr:row>
                    <xdr:rowOff>203200</xdr:rowOff>
                  </from>
                  <to>
                    <xdr:col>1</xdr:col>
                    <xdr:colOff>12700</xdr:colOff>
                    <xdr:row>270</xdr:row>
                    <xdr:rowOff>203200</xdr:rowOff>
                  </to>
                </anchor>
              </controlPr>
            </control>
          </mc:Choice>
        </mc:AlternateContent>
        <mc:AlternateContent xmlns:mc="http://schemas.openxmlformats.org/markup-compatibility/2006">
          <mc:Choice Requires="x14">
            <control shapeId="19519" r:id="rId16" name="Option Button 63">
              <controlPr defaultSize="0" autoFill="0" autoLine="0" autoPict="0">
                <anchor moveWithCells="1">
                  <from>
                    <xdr:col>0</xdr:col>
                    <xdr:colOff>152400</xdr:colOff>
                    <xdr:row>283</xdr:row>
                    <xdr:rowOff>215900</xdr:rowOff>
                  </from>
                  <to>
                    <xdr:col>0</xdr:col>
                    <xdr:colOff>508000</xdr:colOff>
                    <xdr:row>285</xdr:row>
                    <xdr:rowOff>12700</xdr:rowOff>
                  </to>
                </anchor>
              </controlPr>
            </control>
          </mc:Choice>
        </mc:AlternateContent>
        <mc:AlternateContent xmlns:mc="http://schemas.openxmlformats.org/markup-compatibility/2006">
          <mc:Choice Requires="x14">
            <control shapeId="19520" r:id="rId17" name="Option Button 64">
              <controlPr defaultSize="0" autoFill="0" autoLine="0" autoPict="0">
                <anchor moveWithCells="1">
                  <from>
                    <xdr:col>0</xdr:col>
                    <xdr:colOff>152400</xdr:colOff>
                    <xdr:row>284</xdr:row>
                    <xdr:rowOff>203200</xdr:rowOff>
                  </from>
                  <to>
                    <xdr:col>0</xdr:col>
                    <xdr:colOff>508000</xdr:colOff>
                    <xdr:row>286</xdr:row>
                    <xdr:rowOff>12700</xdr:rowOff>
                  </to>
                </anchor>
              </controlPr>
            </control>
          </mc:Choice>
        </mc:AlternateContent>
        <mc:AlternateContent xmlns:mc="http://schemas.openxmlformats.org/markup-compatibility/2006">
          <mc:Choice Requires="x14">
            <control shapeId="19521" r:id="rId18" name="Option Button 65">
              <controlPr defaultSize="0" autoFill="0" autoLine="0" autoPict="0">
                <anchor moveWithCells="1">
                  <from>
                    <xdr:col>0</xdr:col>
                    <xdr:colOff>152400</xdr:colOff>
                    <xdr:row>285</xdr:row>
                    <xdr:rowOff>190500</xdr:rowOff>
                  </from>
                  <to>
                    <xdr:col>0</xdr:col>
                    <xdr:colOff>508000</xdr:colOff>
                    <xdr:row>286</xdr:row>
                    <xdr:rowOff>203200</xdr:rowOff>
                  </to>
                </anchor>
              </controlPr>
            </control>
          </mc:Choice>
        </mc:AlternateContent>
        <mc:AlternateContent xmlns:mc="http://schemas.openxmlformats.org/markup-compatibility/2006">
          <mc:Choice Requires="x14">
            <control shapeId="19556" r:id="rId19" name="Group Box 100">
              <controlPr defaultSize="0" autoFill="0" autoPict="0">
                <anchor moveWithCells="1">
                  <from>
                    <xdr:col>1</xdr:col>
                    <xdr:colOff>6870700</xdr:colOff>
                    <xdr:row>92</xdr:row>
                    <xdr:rowOff>0</xdr:rowOff>
                  </from>
                  <to>
                    <xdr:col>6</xdr:col>
                    <xdr:colOff>0</xdr:colOff>
                    <xdr:row>93</xdr:row>
                    <xdr:rowOff>0</xdr:rowOff>
                  </to>
                </anchor>
              </controlPr>
            </control>
          </mc:Choice>
        </mc:AlternateContent>
        <mc:AlternateContent xmlns:mc="http://schemas.openxmlformats.org/markup-compatibility/2006">
          <mc:Choice Requires="x14">
            <control shapeId="19557" r:id="rId20" name="Option Button 101">
              <controlPr defaultSize="0" autoFill="0" autoLine="0" autoPict="0">
                <anchor moveWithCells="1">
                  <from>
                    <xdr:col>2</xdr:col>
                    <xdr:colOff>609600</xdr:colOff>
                    <xdr:row>92</xdr:row>
                    <xdr:rowOff>12700</xdr:rowOff>
                  </from>
                  <to>
                    <xdr:col>2</xdr:col>
                    <xdr:colOff>1041400</xdr:colOff>
                    <xdr:row>92</xdr:row>
                    <xdr:rowOff>203200</xdr:rowOff>
                  </to>
                </anchor>
              </controlPr>
            </control>
          </mc:Choice>
        </mc:AlternateContent>
        <mc:AlternateContent xmlns:mc="http://schemas.openxmlformats.org/markup-compatibility/2006">
          <mc:Choice Requires="x14">
            <control shapeId="19558" r:id="rId21" name="Option Button 102">
              <controlPr defaultSize="0" autoFill="0" autoLine="0" autoPict="0">
                <anchor moveWithCells="1">
                  <from>
                    <xdr:col>3</xdr:col>
                    <xdr:colOff>546100</xdr:colOff>
                    <xdr:row>92</xdr:row>
                    <xdr:rowOff>0</xdr:rowOff>
                  </from>
                  <to>
                    <xdr:col>3</xdr:col>
                    <xdr:colOff>1130300</xdr:colOff>
                    <xdr:row>92</xdr:row>
                    <xdr:rowOff>190500</xdr:rowOff>
                  </to>
                </anchor>
              </controlPr>
            </control>
          </mc:Choice>
        </mc:AlternateContent>
        <mc:AlternateContent xmlns:mc="http://schemas.openxmlformats.org/markup-compatibility/2006">
          <mc:Choice Requires="x14">
            <control shapeId="19559" r:id="rId22" name="Option Button 103">
              <controlPr defaultSize="0" autoFill="0" autoLine="0" autoPict="0">
                <anchor moveWithCells="1">
                  <from>
                    <xdr:col>4</xdr:col>
                    <xdr:colOff>698500</xdr:colOff>
                    <xdr:row>92</xdr:row>
                    <xdr:rowOff>0</xdr:rowOff>
                  </from>
                  <to>
                    <xdr:col>4</xdr:col>
                    <xdr:colOff>1143000</xdr:colOff>
                    <xdr:row>92</xdr:row>
                    <xdr:rowOff>215900</xdr:rowOff>
                  </to>
                </anchor>
              </controlPr>
            </control>
          </mc:Choice>
        </mc:AlternateContent>
        <mc:AlternateContent xmlns:mc="http://schemas.openxmlformats.org/markup-compatibility/2006">
          <mc:Choice Requires="x14">
            <control shapeId="19561" r:id="rId23" name="Option Button 105">
              <controlPr defaultSize="0" autoFill="0" autoLine="0" autoPict="0">
                <anchor moveWithCells="1">
                  <from>
                    <xdr:col>5</xdr:col>
                    <xdr:colOff>863600</xdr:colOff>
                    <xdr:row>92</xdr:row>
                    <xdr:rowOff>0</xdr:rowOff>
                  </from>
                  <to>
                    <xdr:col>5</xdr:col>
                    <xdr:colOff>1384300</xdr:colOff>
                    <xdr:row>92</xdr:row>
                    <xdr:rowOff>190500</xdr:rowOff>
                  </to>
                </anchor>
              </controlPr>
            </control>
          </mc:Choice>
        </mc:AlternateContent>
        <mc:AlternateContent xmlns:mc="http://schemas.openxmlformats.org/markup-compatibility/2006">
          <mc:Choice Requires="x14">
            <control shapeId="19562" r:id="rId24" name="Group Box 106">
              <controlPr defaultSize="0" autoFill="0" autoPict="0">
                <anchor moveWithCells="1">
                  <from>
                    <xdr:col>2</xdr:col>
                    <xdr:colOff>0</xdr:colOff>
                    <xdr:row>100</xdr:row>
                    <xdr:rowOff>0</xdr:rowOff>
                  </from>
                  <to>
                    <xdr:col>6</xdr:col>
                    <xdr:colOff>0</xdr:colOff>
                    <xdr:row>101</xdr:row>
                    <xdr:rowOff>0</xdr:rowOff>
                  </to>
                </anchor>
              </controlPr>
            </control>
          </mc:Choice>
        </mc:AlternateContent>
        <mc:AlternateContent xmlns:mc="http://schemas.openxmlformats.org/markup-compatibility/2006">
          <mc:Choice Requires="x14">
            <control shapeId="19563" r:id="rId25" name="Group Box 107">
              <controlPr defaultSize="0" autoFill="0" autoPict="0">
                <anchor moveWithCells="1">
                  <from>
                    <xdr:col>1</xdr:col>
                    <xdr:colOff>6870700</xdr:colOff>
                    <xdr:row>93</xdr:row>
                    <xdr:rowOff>12700</xdr:rowOff>
                  </from>
                  <to>
                    <xdr:col>5</xdr:col>
                    <xdr:colOff>1993900</xdr:colOff>
                    <xdr:row>94</xdr:row>
                    <xdr:rowOff>0</xdr:rowOff>
                  </to>
                </anchor>
              </controlPr>
            </control>
          </mc:Choice>
        </mc:AlternateContent>
        <mc:AlternateContent xmlns:mc="http://schemas.openxmlformats.org/markup-compatibility/2006">
          <mc:Choice Requires="x14">
            <control shapeId="19564" r:id="rId26" name="Group Box 108">
              <controlPr defaultSize="0" autoFill="0" autoPict="0">
                <anchor moveWithCells="1">
                  <from>
                    <xdr:col>1</xdr:col>
                    <xdr:colOff>6883400</xdr:colOff>
                    <xdr:row>94</xdr:row>
                    <xdr:rowOff>12700</xdr:rowOff>
                  </from>
                  <to>
                    <xdr:col>5</xdr:col>
                    <xdr:colOff>1981200</xdr:colOff>
                    <xdr:row>95</xdr:row>
                    <xdr:rowOff>0</xdr:rowOff>
                  </to>
                </anchor>
              </controlPr>
            </control>
          </mc:Choice>
        </mc:AlternateContent>
        <mc:AlternateContent xmlns:mc="http://schemas.openxmlformats.org/markup-compatibility/2006">
          <mc:Choice Requires="x14">
            <control shapeId="19565" r:id="rId27" name="Group Box 109">
              <controlPr defaultSize="0" autoFill="0" autoPict="0">
                <anchor moveWithCells="1">
                  <from>
                    <xdr:col>1</xdr:col>
                    <xdr:colOff>6883400</xdr:colOff>
                    <xdr:row>96</xdr:row>
                    <xdr:rowOff>0</xdr:rowOff>
                  </from>
                  <to>
                    <xdr:col>6</xdr:col>
                    <xdr:colOff>12700</xdr:colOff>
                    <xdr:row>97</xdr:row>
                    <xdr:rowOff>0</xdr:rowOff>
                  </to>
                </anchor>
              </controlPr>
            </control>
          </mc:Choice>
        </mc:AlternateContent>
        <mc:AlternateContent xmlns:mc="http://schemas.openxmlformats.org/markup-compatibility/2006">
          <mc:Choice Requires="x14">
            <control shapeId="19566" r:id="rId28" name="Group Box 110">
              <controlPr defaultSize="0" autoFill="0" autoPict="0">
                <anchor moveWithCells="1">
                  <from>
                    <xdr:col>2</xdr:col>
                    <xdr:colOff>0</xdr:colOff>
                    <xdr:row>94</xdr:row>
                    <xdr:rowOff>254000</xdr:rowOff>
                  </from>
                  <to>
                    <xdr:col>6</xdr:col>
                    <xdr:colOff>0</xdr:colOff>
                    <xdr:row>96</xdr:row>
                    <xdr:rowOff>0</xdr:rowOff>
                  </to>
                </anchor>
              </controlPr>
            </control>
          </mc:Choice>
        </mc:AlternateContent>
        <mc:AlternateContent xmlns:mc="http://schemas.openxmlformats.org/markup-compatibility/2006">
          <mc:Choice Requires="x14">
            <control shapeId="19576" r:id="rId29" name="Option Button 120">
              <controlPr defaultSize="0" autoFill="0" autoLine="0" autoPict="0">
                <anchor moveWithCells="1">
                  <from>
                    <xdr:col>2</xdr:col>
                    <xdr:colOff>609600</xdr:colOff>
                    <xdr:row>96</xdr:row>
                    <xdr:rowOff>25400</xdr:rowOff>
                  </from>
                  <to>
                    <xdr:col>2</xdr:col>
                    <xdr:colOff>990600</xdr:colOff>
                    <xdr:row>96</xdr:row>
                    <xdr:rowOff>228600</xdr:rowOff>
                  </to>
                </anchor>
              </controlPr>
            </control>
          </mc:Choice>
        </mc:AlternateContent>
        <mc:AlternateContent xmlns:mc="http://schemas.openxmlformats.org/markup-compatibility/2006">
          <mc:Choice Requires="x14">
            <control shapeId="19577" r:id="rId30" name="Option Button 121">
              <controlPr defaultSize="0" autoFill="0" autoLine="0" autoPict="0">
                <anchor moveWithCells="1">
                  <from>
                    <xdr:col>3</xdr:col>
                    <xdr:colOff>546100</xdr:colOff>
                    <xdr:row>96</xdr:row>
                    <xdr:rowOff>25400</xdr:rowOff>
                  </from>
                  <to>
                    <xdr:col>3</xdr:col>
                    <xdr:colOff>927100</xdr:colOff>
                    <xdr:row>96</xdr:row>
                    <xdr:rowOff>228600</xdr:rowOff>
                  </to>
                </anchor>
              </controlPr>
            </control>
          </mc:Choice>
        </mc:AlternateContent>
        <mc:AlternateContent xmlns:mc="http://schemas.openxmlformats.org/markup-compatibility/2006">
          <mc:Choice Requires="x14">
            <control shapeId="19578" r:id="rId31" name="Option Button 122">
              <controlPr defaultSize="0" autoFill="0" autoLine="0" autoPict="0">
                <anchor moveWithCells="1">
                  <from>
                    <xdr:col>4</xdr:col>
                    <xdr:colOff>685800</xdr:colOff>
                    <xdr:row>96</xdr:row>
                    <xdr:rowOff>12700</xdr:rowOff>
                  </from>
                  <to>
                    <xdr:col>4</xdr:col>
                    <xdr:colOff>1066800</xdr:colOff>
                    <xdr:row>96</xdr:row>
                    <xdr:rowOff>228600</xdr:rowOff>
                  </to>
                </anchor>
              </controlPr>
            </control>
          </mc:Choice>
        </mc:AlternateContent>
        <mc:AlternateContent xmlns:mc="http://schemas.openxmlformats.org/markup-compatibility/2006">
          <mc:Choice Requires="x14">
            <control shapeId="19579" r:id="rId32" name="Option Button 123">
              <controlPr defaultSize="0" autoFill="0" autoLine="0" autoPict="0">
                <anchor moveWithCells="1">
                  <from>
                    <xdr:col>5</xdr:col>
                    <xdr:colOff>863600</xdr:colOff>
                    <xdr:row>96</xdr:row>
                    <xdr:rowOff>12700</xdr:rowOff>
                  </from>
                  <to>
                    <xdr:col>5</xdr:col>
                    <xdr:colOff>1244600</xdr:colOff>
                    <xdr:row>96</xdr:row>
                    <xdr:rowOff>228600</xdr:rowOff>
                  </to>
                </anchor>
              </controlPr>
            </control>
          </mc:Choice>
        </mc:AlternateContent>
        <mc:AlternateContent xmlns:mc="http://schemas.openxmlformats.org/markup-compatibility/2006">
          <mc:Choice Requires="x14">
            <control shapeId="19588" r:id="rId33" name="Group Box 132">
              <controlPr defaultSize="0" autoFill="0" autoPict="0">
                <anchor moveWithCells="1">
                  <from>
                    <xdr:col>2</xdr:col>
                    <xdr:colOff>0</xdr:colOff>
                    <xdr:row>99</xdr:row>
                    <xdr:rowOff>0</xdr:rowOff>
                  </from>
                  <to>
                    <xdr:col>6</xdr:col>
                    <xdr:colOff>0</xdr:colOff>
                    <xdr:row>100</xdr:row>
                    <xdr:rowOff>0</xdr:rowOff>
                  </to>
                </anchor>
              </controlPr>
            </control>
          </mc:Choice>
        </mc:AlternateContent>
        <mc:AlternateContent xmlns:mc="http://schemas.openxmlformats.org/markup-compatibility/2006">
          <mc:Choice Requires="x14">
            <control shapeId="19589" r:id="rId34" name="Group Box 133">
              <controlPr defaultSize="0" autoFill="0" autoPict="0">
                <anchor moveWithCells="1">
                  <from>
                    <xdr:col>2</xdr:col>
                    <xdr:colOff>0</xdr:colOff>
                    <xdr:row>101</xdr:row>
                    <xdr:rowOff>0</xdr:rowOff>
                  </from>
                  <to>
                    <xdr:col>6</xdr:col>
                    <xdr:colOff>12700</xdr:colOff>
                    <xdr:row>102</xdr:row>
                    <xdr:rowOff>0</xdr:rowOff>
                  </to>
                </anchor>
              </controlPr>
            </control>
          </mc:Choice>
        </mc:AlternateContent>
        <mc:AlternateContent xmlns:mc="http://schemas.openxmlformats.org/markup-compatibility/2006">
          <mc:Choice Requires="x14">
            <control shapeId="19590" r:id="rId35" name="Group Box 134">
              <controlPr defaultSize="0" autoFill="0" autoPict="0">
                <anchor moveWithCells="1">
                  <from>
                    <xdr:col>2</xdr:col>
                    <xdr:colOff>0</xdr:colOff>
                    <xdr:row>104</xdr:row>
                    <xdr:rowOff>0</xdr:rowOff>
                  </from>
                  <to>
                    <xdr:col>5</xdr:col>
                    <xdr:colOff>1981200</xdr:colOff>
                    <xdr:row>105</xdr:row>
                    <xdr:rowOff>0</xdr:rowOff>
                  </to>
                </anchor>
              </controlPr>
            </control>
          </mc:Choice>
        </mc:AlternateContent>
        <mc:AlternateContent xmlns:mc="http://schemas.openxmlformats.org/markup-compatibility/2006">
          <mc:Choice Requires="x14">
            <control shapeId="19591" r:id="rId36" name="Group Box 135">
              <controlPr defaultSize="0" autoFill="0" autoPict="0">
                <anchor moveWithCells="1">
                  <from>
                    <xdr:col>2</xdr:col>
                    <xdr:colOff>12700</xdr:colOff>
                    <xdr:row>101</xdr:row>
                    <xdr:rowOff>254000</xdr:rowOff>
                  </from>
                  <to>
                    <xdr:col>6</xdr:col>
                    <xdr:colOff>12700</xdr:colOff>
                    <xdr:row>103</xdr:row>
                    <xdr:rowOff>0</xdr:rowOff>
                  </to>
                </anchor>
              </controlPr>
            </control>
          </mc:Choice>
        </mc:AlternateContent>
        <mc:AlternateContent xmlns:mc="http://schemas.openxmlformats.org/markup-compatibility/2006">
          <mc:Choice Requires="x14">
            <control shapeId="19592" r:id="rId37" name="Group Box 136">
              <controlPr defaultSize="0" autoFill="0" autoPict="0">
                <anchor moveWithCells="1">
                  <from>
                    <xdr:col>2</xdr:col>
                    <xdr:colOff>12700</xdr:colOff>
                    <xdr:row>103</xdr:row>
                    <xdr:rowOff>0</xdr:rowOff>
                  </from>
                  <to>
                    <xdr:col>6</xdr:col>
                    <xdr:colOff>0</xdr:colOff>
                    <xdr:row>104</xdr:row>
                    <xdr:rowOff>0</xdr:rowOff>
                  </to>
                </anchor>
              </controlPr>
            </control>
          </mc:Choice>
        </mc:AlternateContent>
        <mc:AlternateContent xmlns:mc="http://schemas.openxmlformats.org/markup-compatibility/2006">
          <mc:Choice Requires="x14">
            <control shapeId="19593" r:id="rId38" name="Group Box 137">
              <controlPr defaultSize="0" autoFill="0" autoPict="0">
                <anchor moveWithCells="1">
                  <from>
                    <xdr:col>1</xdr:col>
                    <xdr:colOff>6883400</xdr:colOff>
                    <xdr:row>109</xdr:row>
                    <xdr:rowOff>0</xdr:rowOff>
                  </from>
                  <to>
                    <xdr:col>6</xdr:col>
                    <xdr:colOff>0</xdr:colOff>
                    <xdr:row>110</xdr:row>
                    <xdr:rowOff>0</xdr:rowOff>
                  </to>
                </anchor>
              </controlPr>
            </control>
          </mc:Choice>
        </mc:AlternateContent>
        <mc:AlternateContent xmlns:mc="http://schemas.openxmlformats.org/markup-compatibility/2006">
          <mc:Choice Requires="x14">
            <control shapeId="19594" r:id="rId39" name="Group Box 138">
              <controlPr defaultSize="0" autoFill="0" autoPict="0">
                <anchor moveWithCells="1">
                  <from>
                    <xdr:col>1</xdr:col>
                    <xdr:colOff>6870700</xdr:colOff>
                    <xdr:row>105</xdr:row>
                    <xdr:rowOff>0</xdr:rowOff>
                  </from>
                  <to>
                    <xdr:col>5</xdr:col>
                    <xdr:colOff>1981200</xdr:colOff>
                    <xdr:row>106</xdr:row>
                    <xdr:rowOff>0</xdr:rowOff>
                  </to>
                </anchor>
              </controlPr>
            </control>
          </mc:Choice>
        </mc:AlternateContent>
        <mc:AlternateContent xmlns:mc="http://schemas.openxmlformats.org/markup-compatibility/2006">
          <mc:Choice Requires="x14">
            <control shapeId="19603" r:id="rId40" name="Option Button 147">
              <controlPr defaultSize="0" autoFill="0" autoLine="0" autoPict="0">
                <anchor moveWithCells="1">
                  <from>
                    <xdr:col>2</xdr:col>
                    <xdr:colOff>609600</xdr:colOff>
                    <xdr:row>99</xdr:row>
                    <xdr:rowOff>25400</xdr:rowOff>
                  </from>
                  <to>
                    <xdr:col>2</xdr:col>
                    <xdr:colOff>990600</xdr:colOff>
                    <xdr:row>99</xdr:row>
                    <xdr:rowOff>228600</xdr:rowOff>
                  </to>
                </anchor>
              </controlPr>
            </control>
          </mc:Choice>
        </mc:AlternateContent>
        <mc:AlternateContent xmlns:mc="http://schemas.openxmlformats.org/markup-compatibility/2006">
          <mc:Choice Requires="x14">
            <control shapeId="19604" r:id="rId41" name="Option Button 148">
              <controlPr defaultSize="0" autoFill="0" autoLine="0" autoPict="0">
                <anchor moveWithCells="1">
                  <from>
                    <xdr:col>3</xdr:col>
                    <xdr:colOff>546100</xdr:colOff>
                    <xdr:row>99</xdr:row>
                    <xdr:rowOff>38100</xdr:rowOff>
                  </from>
                  <to>
                    <xdr:col>3</xdr:col>
                    <xdr:colOff>927100</xdr:colOff>
                    <xdr:row>99</xdr:row>
                    <xdr:rowOff>228600</xdr:rowOff>
                  </to>
                </anchor>
              </controlPr>
            </control>
          </mc:Choice>
        </mc:AlternateContent>
        <mc:AlternateContent xmlns:mc="http://schemas.openxmlformats.org/markup-compatibility/2006">
          <mc:Choice Requires="x14">
            <control shapeId="19605" r:id="rId42" name="Option Button 149">
              <controlPr defaultSize="0" autoFill="0" autoLine="0" autoPict="0">
                <anchor moveWithCells="1">
                  <from>
                    <xdr:col>4</xdr:col>
                    <xdr:colOff>685800</xdr:colOff>
                    <xdr:row>99</xdr:row>
                    <xdr:rowOff>25400</xdr:rowOff>
                  </from>
                  <to>
                    <xdr:col>4</xdr:col>
                    <xdr:colOff>1066800</xdr:colOff>
                    <xdr:row>99</xdr:row>
                    <xdr:rowOff>228600</xdr:rowOff>
                  </to>
                </anchor>
              </controlPr>
            </control>
          </mc:Choice>
        </mc:AlternateContent>
        <mc:AlternateContent xmlns:mc="http://schemas.openxmlformats.org/markup-compatibility/2006">
          <mc:Choice Requires="x14">
            <control shapeId="19606" r:id="rId43" name="Option Button 150">
              <controlPr defaultSize="0" autoFill="0" autoLine="0" autoPict="0">
                <anchor moveWithCells="1">
                  <from>
                    <xdr:col>5</xdr:col>
                    <xdr:colOff>863600</xdr:colOff>
                    <xdr:row>99</xdr:row>
                    <xdr:rowOff>12700</xdr:rowOff>
                  </from>
                  <to>
                    <xdr:col>5</xdr:col>
                    <xdr:colOff>1244600</xdr:colOff>
                    <xdr:row>99</xdr:row>
                    <xdr:rowOff>228600</xdr:rowOff>
                  </to>
                </anchor>
              </controlPr>
            </control>
          </mc:Choice>
        </mc:AlternateContent>
        <mc:AlternateContent xmlns:mc="http://schemas.openxmlformats.org/markup-compatibility/2006">
          <mc:Choice Requires="x14">
            <control shapeId="19607" r:id="rId44" name="Option Button 151">
              <controlPr defaultSize="0" autoFill="0" autoLine="0" autoPict="0">
                <anchor moveWithCells="1">
                  <from>
                    <xdr:col>2</xdr:col>
                    <xdr:colOff>609600</xdr:colOff>
                    <xdr:row>102</xdr:row>
                    <xdr:rowOff>38100</xdr:rowOff>
                  </from>
                  <to>
                    <xdr:col>2</xdr:col>
                    <xdr:colOff>990600</xdr:colOff>
                    <xdr:row>102</xdr:row>
                    <xdr:rowOff>241300</xdr:rowOff>
                  </to>
                </anchor>
              </controlPr>
            </control>
          </mc:Choice>
        </mc:AlternateContent>
        <mc:AlternateContent xmlns:mc="http://schemas.openxmlformats.org/markup-compatibility/2006">
          <mc:Choice Requires="x14">
            <control shapeId="19608" r:id="rId45" name="Option Button 152">
              <controlPr defaultSize="0" autoFill="0" autoLine="0" autoPict="0">
                <anchor moveWithCells="1">
                  <from>
                    <xdr:col>3</xdr:col>
                    <xdr:colOff>546100</xdr:colOff>
                    <xdr:row>102</xdr:row>
                    <xdr:rowOff>38100</xdr:rowOff>
                  </from>
                  <to>
                    <xdr:col>3</xdr:col>
                    <xdr:colOff>939800</xdr:colOff>
                    <xdr:row>102</xdr:row>
                    <xdr:rowOff>228600</xdr:rowOff>
                  </to>
                </anchor>
              </controlPr>
            </control>
          </mc:Choice>
        </mc:AlternateContent>
        <mc:AlternateContent xmlns:mc="http://schemas.openxmlformats.org/markup-compatibility/2006">
          <mc:Choice Requires="x14">
            <control shapeId="19609" r:id="rId46" name="Option Button 153">
              <controlPr defaultSize="0" autoFill="0" autoLine="0" autoPict="0">
                <anchor moveWithCells="1">
                  <from>
                    <xdr:col>4</xdr:col>
                    <xdr:colOff>698500</xdr:colOff>
                    <xdr:row>102</xdr:row>
                    <xdr:rowOff>38100</xdr:rowOff>
                  </from>
                  <to>
                    <xdr:col>4</xdr:col>
                    <xdr:colOff>1079500</xdr:colOff>
                    <xdr:row>102</xdr:row>
                    <xdr:rowOff>241300</xdr:rowOff>
                  </to>
                </anchor>
              </controlPr>
            </control>
          </mc:Choice>
        </mc:AlternateContent>
        <mc:AlternateContent xmlns:mc="http://schemas.openxmlformats.org/markup-compatibility/2006">
          <mc:Choice Requires="x14">
            <control shapeId="19610" r:id="rId47" name="Option Button 154">
              <controlPr defaultSize="0" autoFill="0" autoLine="0" autoPict="0">
                <anchor moveWithCells="1">
                  <from>
                    <xdr:col>5</xdr:col>
                    <xdr:colOff>863600</xdr:colOff>
                    <xdr:row>102</xdr:row>
                    <xdr:rowOff>50800</xdr:rowOff>
                  </from>
                  <to>
                    <xdr:col>5</xdr:col>
                    <xdr:colOff>1244600</xdr:colOff>
                    <xdr:row>102</xdr:row>
                    <xdr:rowOff>228600</xdr:rowOff>
                  </to>
                </anchor>
              </controlPr>
            </control>
          </mc:Choice>
        </mc:AlternateContent>
        <mc:AlternateContent xmlns:mc="http://schemas.openxmlformats.org/markup-compatibility/2006">
          <mc:Choice Requires="x14">
            <control shapeId="19619" r:id="rId48" name="Option Button 163">
              <controlPr defaultSize="0" autoFill="0" autoLine="0" autoPict="0">
                <anchor moveWithCells="1">
                  <from>
                    <xdr:col>2</xdr:col>
                    <xdr:colOff>596900</xdr:colOff>
                    <xdr:row>105</xdr:row>
                    <xdr:rowOff>25400</xdr:rowOff>
                  </from>
                  <to>
                    <xdr:col>2</xdr:col>
                    <xdr:colOff>977900</xdr:colOff>
                    <xdr:row>105</xdr:row>
                    <xdr:rowOff>228600</xdr:rowOff>
                  </to>
                </anchor>
              </controlPr>
            </control>
          </mc:Choice>
        </mc:AlternateContent>
        <mc:AlternateContent xmlns:mc="http://schemas.openxmlformats.org/markup-compatibility/2006">
          <mc:Choice Requires="x14">
            <control shapeId="19620" r:id="rId49" name="Option Button 164">
              <controlPr defaultSize="0" autoFill="0" autoLine="0" autoPict="0">
                <anchor moveWithCells="1">
                  <from>
                    <xdr:col>3</xdr:col>
                    <xdr:colOff>546100</xdr:colOff>
                    <xdr:row>105</xdr:row>
                    <xdr:rowOff>25400</xdr:rowOff>
                  </from>
                  <to>
                    <xdr:col>3</xdr:col>
                    <xdr:colOff>927100</xdr:colOff>
                    <xdr:row>105</xdr:row>
                    <xdr:rowOff>228600</xdr:rowOff>
                  </to>
                </anchor>
              </controlPr>
            </control>
          </mc:Choice>
        </mc:AlternateContent>
        <mc:AlternateContent xmlns:mc="http://schemas.openxmlformats.org/markup-compatibility/2006">
          <mc:Choice Requires="x14">
            <control shapeId="19621" r:id="rId50" name="Option Button 165">
              <controlPr defaultSize="0" autoFill="0" autoLine="0" autoPict="0">
                <anchor moveWithCells="1">
                  <from>
                    <xdr:col>4</xdr:col>
                    <xdr:colOff>685800</xdr:colOff>
                    <xdr:row>105</xdr:row>
                    <xdr:rowOff>12700</xdr:rowOff>
                  </from>
                  <to>
                    <xdr:col>4</xdr:col>
                    <xdr:colOff>1054100</xdr:colOff>
                    <xdr:row>105</xdr:row>
                    <xdr:rowOff>241300</xdr:rowOff>
                  </to>
                </anchor>
              </controlPr>
            </control>
          </mc:Choice>
        </mc:AlternateContent>
        <mc:AlternateContent xmlns:mc="http://schemas.openxmlformats.org/markup-compatibility/2006">
          <mc:Choice Requires="x14">
            <control shapeId="19622" r:id="rId51" name="Option Button 166">
              <controlPr defaultSize="0" autoFill="0" autoLine="0" autoPict="0">
                <anchor moveWithCells="1">
                  <from>
                    <xdr:col>5</xdr:col>
                    <xdr:colOff>850900</xdr:colOff>
                    <xdr:row>105</xdr:row>
                    <xdr:rowOff>12700</xdr:rowOff>
                  </from>
                  <to>
                    <xdr:col>5</xdr:col>
                    <xdr:colOff>1231900</xdr:colOff>
                    <xdr:row>105</xdr:row>
                    <xdr:rowOff>228600</xdr:rowOff>
                  </to>
                </anchor>
              </controlPr>
            </control>
          </mc:Choice>
        </mc:AlternateContent>
        <mc:AlternateContent xmlns:mc="http://schemas.openxmlformats.org/markup-compatibility/2006">
          <mc:Choice Requires="x14">
            <control shapeId="19623" r:id="rId52" name="Group Box 167">
              <controlPr defaultSize="0" autoFill="0" autoPict="0">
                <anchor moveWithCells="1">
                  <from>
                    <xdr:col>2</xdr:col>
                    <xdr:colOff>0</xdr:colOff>
                    <xdr:row>96</xdr:row>
                    <xdr:rowOff>254000</xdr:rowOff>
                  </from>
                  <to>
                    <xdr:col>6</xdr:col>
                    <xdr:colOff>0</xdr:colOff>
                    <xdr:row>98</xdr:row>
                    <xdr:rowOff>0</xdr:rowOff>
                  </to>
                </anchor>
              </controlPr>
            </control>
          </mc:Choice>
        </mc:AlternateContent>
        <mc:AlternateContent xmlns:mc="http://schemas.openxmlformats.org/markup-compatibility/2006">
          <mc:Choice Requires="x14">
            <control shapeId="19624" r:id="rId53" name="Group Box 168">
              <controlPr defaultSize="0" autoFill="0" autoPict="0">
                <anchor moveWithCells="1">
                  <from>
                    <xdr:col>1</xdr:col>
                    <xdr:colOff>6870700</xdr:colOff>
                    <xdr:row>107</xdr:row>
                    <xdr:rowOff>12700</xdr:rowOff>
                  </from>
                  <to>
                    <xdr:col>6</xdr:col>
                    <xdr:colOff>12700</xdr:colOff>
                    <xdr:row>108</xdr:row>
                    <xdr:rowOff>0</xdr:rowOff>
                  </to>
                </anchor>
              </controlPr>
            </control>
          </mc:Choice>
        </mc:AlternateContent>
        <mc:AlternateContent xmlns:mc="http://schemas.openxmlformats.org/markup-compatibility/2006">
          <mc:Choice Requires="x14">
            <control shapeId="19625" r:id="rId54" name="Group Box 169">
              <controlPr defaultSize="0" autoFill="0" autoPict="0">
                <anchor moveWithCells="1">
                  <from>
                    <xdr:col>1</xdr:col>
                    <xdr:colOff>6870700</xdr:colOff>
                    <xdr:row>108</xdr:row>
                    <xdr:rowOff>0</xdr:rowOff>
                  </from>
                  <to>
                    <xdr:col>6</xdr:col>
                    <xdr:colOff>0</xdr:colOff>
                    <xdr:row>109</xdr:row>
                    <xdr:rowOff>0</xdr:rowOff>
                  </to>
                </anchor>
              </controlPr>
            </control>
          </mc:Choice>
        </mc:AlternateContent>
        <mc:AlternateContent xmlns:mc="http://schemas.openxmlformats.org/markup-compatibility/2006">
          <mc:Choice Requires="x14">
            <control shapeId="19630" r:id="rId55" name="Option Button 174">
              <controlPr defaultSize="0" autoFill="0" autoLine="0" autoPict="0">
                <anchor moveWithCells="1">
                  <from>
                    <xdr:col>2</xdr:col>
                    <xdr:colOff>609600</xdr:colOff>
                    <xdr:row>107</xdr:row>
                    <xdr:rowOff>25400</xdr:rowOff>
                  </from>
                  <to>
                    <xdr:col>2</xdr:col>
                    <xdr:colOff>990600</xdr:colOff>
                    <xdr:row>107</xdr:row>
                    <xdr:rowOff>241300</xdr:rowOff>
                  </to>
                </anchor>
              </controlPr>
            </control>
          </mc:Choice>
        </mc:AlternateContent>
        <mc:AlternateContent xmlns:mc="http://schemas.openxmlformats.org/markup-compatibility/2006">
          <mc:Choice Requires="x14">
            <control shapeId="19631" r:id="rId56" name="Option Button 175">
              <controlPr defaultSize="0" autoFill="0" autoLine="0" autoPict="0">
                <anchor moveWithCells="1">
                  <from>
                    <xdr:col>3</xdr:col>
                    <xdr:colOff>546100</xdr:colOff>
                    <xdr:row>107</xdr:row>
                    <xdr:rowOff>25400</xdr:rowOff>
                  </from>
                  <to>
                    <xdr:col>3</xdr:col>
                    <xdr:colOff>927100</xdr:colOff>
                    <xdr:row>107</xdr:row>
                    <xdr:rowOff>241300</xdr:rowOff>
                  </to>
                </anchor>
              </controlPr>
            </control>
          </mc:Choice>
        </mc:AlternateContent>
        <mc:AlternateContent xmlns:mc="http://schemas.openxmlformats.org/markup-compatibility/2006">
          <mc:Choice Requires="x14">
            <control shapeId="19632" r:id="rId57" name="Option Button 176">
              <controlPr defaultSize="0" autoFill="0" autoLine="0" autoPict="0">
                <anchor moveWithCells="1">
                  <from>
                    <xdr:col>4</xdr:col>
                    <xdr:colOff>685800</xdr:colOff>
                    <xdr:row>107</xdr:row>
                    <xdr:rowOff>25400</xdr:rowOff>
                  </from>
                  <to>
                    <xdr:col>4</xdr:col>
                    <xdr:colOff>1066800</xdr:colOff>
                    <xdr:row>107</xdr:row>
                    <xdr:rowOff>241300</xdr:rowOff>
                  </to>
                </anchor>
              </controlPr>
            </control>
          </mc:Choice>
        </mc:AlternateContent>
        <mc:AlternateContent xmlns:mc="http://schemas.openxmlformats.org/markup-compatibility/2006">
          <mc:Choice Requires="x14">
            <control shapeId="19633" r:id="rId58" name="Option Button 177">
              <controlPr defaultSize="0" autoFill="0" autoLine="0" autoPict="0">
                <anchor moveWithCells="1">
                  <from>
                    <xdr:col>5</xdr:col>
                    <xdr:colOff>850900</xdr:colOff>
                    <xdr:row>107</xdr:row>
                    <xdr:rowOff>25400</xdr:rowOff>
                  </from>
                  <to>
                    <xdr:col>5</xdr:col>
                    <xdr:colOff>1231900</xdr:colOff>
                    <xdr:row>107</xdr:row>
                    <xdr:rowOff>241300</xdr:rowOff>
                  </to>
                </anchor>
              </controlPr>
            </control>
          </mc:Choice>
        </mc:AlternateContent>
        <mc:AlternateContent xmlns:mc="http://schemas.openxmlformats.org/markup-compatibility/2006">
          <mc:Choice Requires="x14">
            <control shapeId="19639" r:id="rId59" name="Group Box 183">
              <controlPr defaultSize="0" autoFill="0" autoPict="0">
                <anchor moveWithCells="1">
                  <from>
                    <xdr:col>2</xdr:col>
                    <xdr:colOff>0</xdr:colOff>
                    <xdr:row>106</xdr:row>
                    <xdr:rowOff>0</xdr:rowOff>
                  </from>
                  <to>
                    <xdr:col>5</xdr:col>
                    <xdr:colOff>1993900</xdr:colOff>
                    <xdr:row>107</xdr:row>
                    <xdr:rowOff>0</xdr:rowOff>
                  </to>
                </anchor>
              </controlPr>
            </control>
          </mc:Choice>
        </mc:AlternateContent>
        <mc:AlternateContent xmlns:mc="http://schemas.openxmlformats.org/markup-compatibility/2006">
          <mc:Choice Requires="x14">
            <control shapeId="19640" r:id="rId60" name="Group Box 184">
              <controlPr defaultSize="0" autoFill="0" autoPict="0">
                <anchor moveWithCells="1">
                  <from>
                    <xdr:col>1</xdr:col>
                    <xdr:colOff>6883400</xdr:colOff>
                    <xdr:row>110</xdr:row>
                    <xdr:rowOff>0</xdr:rowOff>
                  </from>
                  <to>
                    <xdr:col>6</xdr:col>
                    <xdr:colOff>0</xdr:colOff>
                    <xdr:row>111</xdr:row>
                    <xdr:rowOff>0</xdr:rowOff>
                  </to>
                </anchor>
              </controlPr>
            </control>
          </mc:Choice>
        </mc:AlternateContent>
        <mc:AlternateContent xmlns:mc="http://schemas.openxmlformats.org/markup-compatibility/2006">
          <mc:Choice Requires="x14">
            <control shapeId="19641" r:id="rId61" name="Group Box 185">
              <controlPr defaultSize="0" autoFill="0" autoPict="0">
                <anchor moveWithCells="1">
                  <from>
                    <xdr:col>2</xdr:col>
                    <xdr:colOff>0</xdr:colOff>
                    <xdr:row>93</xdr:row>
                    <xdr:rowOff>12700</xdr:rowOff>
                  </from>
                  <to>
                    <xdr:col>5</xdr:col>
                    <xdr:colOff>1981200</xdr:colOff>
                    <xdr:row>94</xdr:row>
                    <xdr:rowOff>12700</xdr:rowOff>
                  </to>
                </anchor>
              </controlPr>
            </control>
          </mc:Choice>
        </mc:AlternateContent>
        <mc:AlternateContent xmlns:mc="http://schemas.openxmlformats.org/markup-compatibility/2006">
          <mc:Choice Requires="x14">
            <control shapeId="19658" r:id="rId62" name="Option Button 202">
              <controlPr defaultSize="0" autoFill="0" autoLine="0" autoPict="0">
                <anchor moveWithCells="1">
                  <from>
                    <xdr:col>2</xdr:col>
                    <xdr:colOff>596900</xdr:colOff>
                    <xdr:row>93</xdr:row>
                    <xdr:rowOff>50800</xdr:rowOff>
                  </from>
                  <to>
                    <xdr:col>2</xdr:col>
                    <xdr:colOff>1244600</xdr:colOff>
                    <xdr:row>93</xdr:row>
                    <xdr:rowOff>215900</xdr:rowOff>
                  </to>
                </anchor>
              </controlPr>
            </control>
          </mc:Choice>
        </mc:AlternateContent>
        <mc:AlternateContent xmlns:mc="http://schemas.openxmlformats.org/markup-compatibility/2006">
          <mc:Choice Requires="x14">
            <control shapeId="19659" r:id="rId63" name="Option Button 203">
              <controlPr defaultSize="0" autoFill="0" autoLine="0" autoPict="0">
                <anchor moveWithCells="1">
                  <from>
                    <xdr:col>3</xdr:col>
                    <xdr:colOff>546100</xdr:colOff>
                    <xdr:row>93</xdr:row>
                    <xdr:rowOff>38100</xdr:rowOff>
                  </from>
                  <to>
                    <xdr:col>3</xdr:col>
                    <xdr:colOff>1257300</xdr:colOff>
                    <xdr:row>93</xdr:row>
                    <xdr:rowOff>215900</xdr:rowOff>
                  </to>
                </anchor>
              </controlPr>
            </control>
          </mc:Choice>
        </mc:AlternateContent>
        <mc:AlternateContent xmlns:mc="http://schemas.openxmlformats.org/markup-compatibility/2006">
          <mc:Choice Requires="x14">
            <control shapeId="19660" r:id="rId64" name="Option Button 204">
              <controlPr defaultSize="0" autoFill="0" autoLine="0" autoPict="0">
                <anchor moveWithCells="1">
                  <from>
                    <xdr:col>4</xdr:col>
                    <xdr:colOff>698500</xdr:colOff>
                    <xdr:row>93</xdr:row>
                    <xdr:rowOff>38100</xdr:rowOff>
                  </from>
                  <to>
                    <xdr:col>4</xdr:col>
                    <xdr:colOff>1346200</xdr:colOff>
                    <xdr:row>93</xdr:row>
                    <xdr:rowOff>228600</xdr:rowOff>
                  </to>
                </anchor>
              </controlPr>
            </control>
          </mc:Choice>
        </mc:AlternateContent>
        <mc:AlternateContent xmlns:mc="http://schemas.openxmlformats.org/markup-compatibility/2006">
          <mc:Choice Requires="x14">
            <control shapeId="19661" r:id="rId65" name="Option Button 205">
              <controlPr defaultSize="0" autoFill="0" autoLine="0" autoPict="0">
                <anchor moveWithCells="1">
                  <from>
                    <xdr:col>5</xdr:col>
                    <xdr:colOff>863600</xdr:colOff>
                    <xdr:row>93</xdr:row>
                    <xdr:rowOff>38100</xdr:rowOff>
                  </from>
                  <to>
                    <xdr:col>5</xdr:col>
                    <xdr:colOff>1270000</xdr:colOff>
                    <xdr:row>93</xdr:row>
                    <xdr:rowOff>215900</xdr:rowOff>
                  </to>
                </anchor>
              </controlPr>
            </control>
          </mc:Choice>
        </mc:AlternateContent>
        <mc:AlternateContent xmlns:mc="http://schemas.openxmlformats.org/markup-compatibility/2006">
          <mc:Choice Requires="x14">
            <control shapeId="19663" r:id="rId66" name="Option Button 207">
              <controlPr defaultSize="0" autoFill="0" autoLine="0" autoPict="0">
                <anchor moveWithCells="1">
                  <from>
                    <xdr:col>2</xdr:col>
                    <xdr:colOff>596900</xdr:colOff>
                    <xdr:row>94</xdr:row>
                    <xdr:rowOff>38100</xdr:rowOff>
                  </from>
                  <to>
                    <xdr:col>2</xdr:col>
                    <xdr:colOff>1079500</xdr:colOff>
                    <xdr:row>94</xdr:row>
                    <xdr:rowOff>228600</xdr:rowOff>
                  </to>
                </anchor>
              </controlPr>
            </control>
          </mc:Choice>
        </mc:AlternateContent>
        <mc:AlternateContent xmlns:mc="http://schemas.openxmlformats.org/markup-compatibility/2006">
          <mc:Choice Requires="x14">
            <control shapeId="19664" r:id="rId67" name="Option Button 208">
              <controlPr defaultSize="0" autoFill="0" autoLine="0" autoPict="0">
                <anchor moveWithCells="1">
                  <from>
                    <xdr:col>3</xdr:col>
                    <xdr:colOff>546100</xdr:colOff>
                    <xdr:row>94</xdr:row>
                    <xdr:rowOff>38100</xdr:rowOff>
                  </from>
                  <to>
                    <xdr:col>3</xdr:col>
                    <xdr:colOff>1016000</xdr:colOff>
                    <xdr:row>94</xdr:row>
                    <xdr:rowOff>215900</xdr:rowOff>
                  </to>
                </anchor>
              </controlPr>
            </control>
          </mc:Choice>
        </mc:AlternateContent>
        <mc:AlternateContent xmlns:mc="http://schemas.openxmlformats.org/markup-compatibility/2006">
          <mc:Choice Requires="x14">
            <control shapeId="19666" r:id="rId68" name="Option Button 210">
              <controlPr defaultSize="0" autoFill="0" autoLine="0" autoPict="0">
                <anchor moveWithCells="1">
                  <from>
                    <xdr:col>4</xdr:col>
                    <xdr:colOff>685800</xdr:colOff>
                    <xdr:row>94</xdr:row>
                    <xdr:rowOff>38100</xdr:rowOff>
                  </from>
                  <to>
                    <xdr:col>4</xdr:col>
                    <xdr:colOff>1308100</xdr:colOff>
                    <xdr:row>94</xdr:row>
                    <xdr:rowOff>215900</xdr:rowOff>
                  </to>
                </anchor>
              </controlPr>
            </control>
          </mc:Choice>
        </mc:AlternateContent>
        <mc:AlternateContent xmlns:mc="http://schemas.openxmlformats.org/markup-compatibility/2006">
          <mc:Choice Requires="x14">
            <control shapeId="19667" r:id="rId69" name="Option Button 211">
              <controlPr defaultSize="0" autoFill="0" autoLine="0" autoPict="0">
                <anchor moveWithCells="1">
                  <from>
                    <xdr:col>5</xdr:col>
                    <xdr:colOff>850900</xdr:colOff>
                    <xdr:row>94</xdr:row>
                    <xdr:rowOff>50800</xdr:rowOff>
                  </from>
                  <to>
                    <xdr:col>5</xdr:col>
                    <xdr:colOff>1397000</xdr:colOff>
                    <xdr:row>94</xdr:row>
                    <xdr:rowOff>228600</xdr:rowOff>
                  </to>
                </anchor>
              </controlPr>
            </control>
          </mc:Choice>
        </mc:AlternateContent>
        <mc:AlternateContent xmlns:mc="http://schemas.openxmlformats.org/markup-compatibility/2006">
          <mc:Choice Requires="x14">
            <control shapeId="19668" r:id="rId70" name="Option Button 212">
              <controlPr defaultSize="0" autoFill="0" autoLine="0" autoPict="0">
                <anchor moveWithCells="1">
                  <from>
                    <xdr:col>2</xdr:col>
                    <xdr:colOff>609600</xdr:colOff>
                    <xdr:row>95</xdr:row>
                    <xdr:rowOff>38100</xdr:rowOff>
                  </from>
                  <to>
                    <xdr:col>2</xdr:col>
                    <xdr:colOff>1104900</xdr:colOff>
                    <xdr:row>95</xdr:row>
                    <xdr:rowOff>215900</xdr:rowOff>
                  </to>
                </anchor>
              </controlPr>
            </control>
          </mc:Choice>
        </mc:AlternateContent>
        <mc:AlternateContent xmlns:mc="http://schemas.openxmlformats.org/markup-compatibility/2006">
          <mc:Choice Requires="x14">
            <control shapeId="19669" r:id="rId71" name="Option Button 213">
              <controlPr defaultSize="0" autoFill="0" autoLine="0" autoPict="0">
                <anchor moveWithCells="1">
                  <from>
                    <xdr:col>3</xdr:col>
                    <xdr:colOff>558800</xdr:colOff>
                    <xdr:row>95</xdr:row>
                    <xdr:rowOff>25400</xdr:rowOff>
                  </from>
                  <to>
                    <xdr:col>3</xdr:col>
                    <xdr:colOff>1054100</xdr:colOff>
                    <xdr:row>95</xdr:row>
                    <xdr:rowOff>228600</xdr:rowOff>
                  </to>
                </anchor>
              </controlPr>
            </control>
          </mc:Choice>
        </mc:AlternateContent>
        <mc:AlternateContent xmlns:mc="http://schemas.openxmlformats.org/markup-compatibility/2006">
          <mc:Choice Requires="x14">
            <control shapeId="19670" r:id="rId72" name="Option Button 214">
              <controlPr defaultSize="0" autoFill="0" autoLine="0" autoPict="0">
                <anchor moveWithCells="1">
                  <from>
                    <xdr:col>4</xdr:col>
                    <xdr:colOff>698500</xdr:colOff>
                    <xdr:row>95</xdr:row>
                    <xdr:rowOff>25400</xdr:rowOff>
                  </from>
                  <to>
                    <xdr:col>4</xdr:col>
                    <xdr:colOff>1473200</xdr:colOff>
                    <xdr:row>95</xdr:row>
                    <xdr:rowOff>228600</xdr:rowOff>
                  </to>
                </anchor>
              </controlPr>
            </control>
          </mc:Choice>
        </mc:AlternateContent>
        <mc:AlternateContent xmlns:mc="http://schemas.openxmlformats.org/markup-compatibility/2006">
          <mc:Choice Requires="x14">
            <control shapeId="19671" r:id="rId73" name="Option Button 215">
              <controlPr defaultSize="0" autoFill="0" autoLine="0" autoPict="0">
                <anchor moveWithCells="1">
                  <from>
                    <xdr:col>5</xdr:col>
                    <xdr:colOff>850900</xdr:colOff>
                    <xdr:row>95</xdr:row>
                    <xdr:rowOff>50800</xdr:rowOff>
                  </from>
                  <to>
                    <xdr:col>5</xdr:col>
                    <xdr:colOff>1384300</xdr:colOff>
                    <xdr:row>95</xdr:row>
                    <xdr:rowOff>228600</xdr:rowOff>
                  </to>
                </anchor>
              </controlPr>
            </control>
          </mc:Choice>
        </mc:AlternateContent>
        <mc:AlternateContent xmlns:mc="http://schemas.openxmlformats.org/markup-compatibility/2006">
          <mc:Choice Requires="x14">
            <control shapeId="19676" r:id="rId74" name="Option Button 220">
              <controlPr defaultSize="0" autoFill="0" autoLine="0" autoPict="0">
                <anchor moveWithCells="1">
                  <from>
                    <xdr:col>2</xdr:col>
                    <xdr:colOff>596900</xdr:colOff>
                    <xdr:row>97</xdr:row>
                    <xdr:rowOff>38100</xdr:rowOff>
                  </from>
                  <to>
                    <xdr:col>2</xdr:col>
                    <xdr:colOff>1066800</xdr:colOff>
                    <xdr:row>97</xdr:row>
                    <xdr:rowOff>228600</xdr:rowOff>
                  </to>
                </anchor>
              </controlPr>
            </control>
          </mc:Choice>
        </mc:AlternateContent>
        <mc:AlternateContent xmlns:mc="http://schemas.openxmlformats.org/markup-compatibility/2006">
          <mc:Choice Requires="x14">
            <control shapeId="19677" r:id="rId75" name="Option Button 221">
              <controlPr defaultSize="0" autoFill="0" autoLine="0" autoPict="0">
                <anchor moveWithCells="1">
                  <from>
                    <xdr:col>3</xdr:col>
                    <xdr:colOff>546100</xdr:colOff>
                    <xdr:row>97</xdr:row>
                    <xdr:rowOff>38100</xdr:rowOff>
                  </from>
                  <to>
                    <xdr:col>3</xdr:col>
                    <xdr:colOff>1054100</xdr:colOff>
                    <xdr:row>97</xdr:row>
                    <xdr:rowOff>215900</xdr:rowOff>
                  </to>
                </anchor>
              </controlPr>
            </control>
          </mc:Choice>
        </mc:AlternateContent>
        <mc:AlternateContent xmlns:mc="http://schemas.openxmlformats.org/markup-compatibility/2006">
          <mc:Choice Requires="x14">
            <control shapeId="19678" r:id="rId76" name="Option Button 222">
              <controlPr defaultSize="0" autoFill="0" autoLine="0" autoPict="0">
                <anchor moveWithCells="1">
                  <from>
                    <xdr:col>4</xdr:col>
                    <xdr:colOff>685800</xdr:colOff>
                    <xdr:row>97</xdr:row>
                    <xdr:rowOff>38100</xdr:rowOff>
                  </from>
                  <to>
                    <xdr:col>4</xdr:col>
                    <xdr:colOff>1219200</xdr:colOff>
                    <xdr:row>97</xdr:row>
                    <xdr:rowOff>228600</xdr:rowOff>
                  </to>
                </anchor>
              </controlPr>
            </control>
          </mc:Choice>
        </mc:AlternateContent>
        <mc:AlternateContent xmlns:mc="http://schemas.openxmlformats.org/markup-compatibility/2006">
          <mc:Choice Requires="x14">
            <control shapeId="19679" r:id="rId77" name="Option Button 223">
              <controlPr defaultSize="0" autoFill="0" autoLine="0" autoPict="0">
                <anchor moveWithCells="1">
                  <from>
                    <xdr:col>5</xdr:col>
                    <xdr:colOff>863600</xdr:colOff>
                    <xdr:row>97</xdr:row>
                    <xdr:rowOff>38100</xdr:rowOff>
                  </from>
                  <to>
                    <xdr:col>5</xdr:col>
                    <xdr:colOff>1422400</xdr:colOff>
                    <xdr:row>97</xdr:row>
                    <xdr:rowOff>215900</xdr:rowOff>
                  </to>
                </anchor>
              </controlPr>
            </control>
          </mc:Choice>
        </mc:AlternateContent>
        <mc:AlternateContent xmlns:mc="http://schemas.openxmlformats.org/markup-compatibility/2006">
          <mc:Choice Requires="x14">
            <control shapeId="19684" r:id="rId78" name="Option Button 228">
              <controlPr defaultSize="0" autoFill="0" autoLine="0" autoPict="0">
                <anchor moveWithCells="1">
                  <from>
                    <xdr:col>2</xdr:col>
                    <xdr:colOff>609600</xdr:colOff>
                    <xdr:row>100</xdr:row>
                    <xdr:rowOff>38100</xdr:rowOff>
                  </from>
                  <to>
                    <xdr:col>2</xdr:col>
                    <xdr:colOff>1130300</xdr:colOff>
                    <xdr:row>100</xdr:row>
                    <xdr:rowOff>228600</xdr:rowOff>
                  </to>
                </anchor>
              </controlPr>
            </control>
          </mc:Choice>
        </mc:AlternateContent>
        <mc:AlternateContent xmlns:mc="http://schemas.openxmlformats.org/markup-compatibility/2006">
          <mc:Choice Requires="x14">
            <control shapeId="19685" r:id="rId79" name="Option Button 229">
              <controlPr defaultSize="0" autoFill="0" autoLine="0" autoPict="0">
                <anchor moveWithCells="1">
                  <from>
                    <xdr:col>3</xdr:col>
                    <xdr:colOff>546100</xdr:colOff>
                    <xdr:row>100</xdr:row>
                    <xdr:rowOff>38100</xdr:rowOff>
                  </from>
                  <to>
                    <xdr:col>3</xdr:col>
                    <xdr:colOff>939800</xdr:colOff>
                    <xdr:row>100</xdr:row>
                    <xdr:rowOff>241300</xdr:rowOff>
                  </to>
                </anchor>
              </controlPr>
            </control>
          </mc:Choice>
        </mc:AlternateContent>
        <mc:AlternateContent xmlns:mc="http://schemas.openxmlformats.org/markup-compatibility/2006">
          <mc:Choice Requires="x14">
            <control shapeId="19686" r:id="rId80" name="Option Button 230">
              <controlPr defaultSize="0" autoFill="0" autoLine="0" autoPict="0">
                <anchor moveWithCells="1">
                  <from>
                    <xdr:col>4</xdr:col>
                    <xdr:colOff>698500</xdr:colOff>
                    <xdr:row>100</xdr:row>
                    <xdr:rowOff>38100</xdr:rowOff>
                  </from>
                  <to>
                    <xdr:col>4</xdr:col>
                    <xdr:colOff>1244600</xdr:colOff>
                    <xdr:row>100</xdr:row>
                    <xdr:rowOff>228600</xdr:rowOff>
                  </to>
                </anchor>
              </controlPr>
            </control>
          </mc:Choice>
        </mc:AlternateContent>
        <mc:AlternateContent xmlns:mc="http://schemas.openxmlformats.org/markup-compatibility/2006">
          <mc:Choice Requires="x14">
            <control shapeId="19687" r:id="rId81" name="Option Button 231">
              <controlPr defaultSize="0" autoFill="0" autoLine="0" autoPict="0">
                <anchor moveWithCells="1">
                  <from>
                    <xdr:col>5</xdr:col>
                    <xdr:colOff>863600</xdr:colOff>
                    <xdr:row>100</xdr:row>
                    <xdr:rowOff>50800</xdr:rowOff>
                  </from>
                  <to>
                    <xdr:col>5</xdr:col>
                    <xdr:colOff>1333500</xdr:colOff>
                    <xdr:row>100</xdr:row>
                    <xdr:rowOff>215900</xdr:rowOff>
                  </to>
                </anchor>
              </controlPr>
            </control>
          </mc:Choice>
        </mc:AlternateContent>
        <mc:AlternateContent xmlns:mc="http://schemas.openxmlformats.org/markup-compatibility/2006">
          <mc:Choice Requires="x14">
            <control shapeId="19688" r:id="rId82" name="Option Button 232">
              <controlPr defaultSize="0" autoFill="0" autoLine="0" autoPict="0">
                <anchor moveWithCells="1">
                  <from>
                    <xdr:col>2</xdr:col>
                    <xdr:colOff>596900</xdr:colOff>
                    <xdr:row>101</xdr:row>
                    <xdr:rowOff>38100</xdr:rowOff>
                  </from>
                  <to>
                    <xdr:col>2</xdr:col>
                    <xdr:colOff>977900</xdr:colOff>
                    <xdr:row>101</xdr:row>
                    <xdr:rowOff>228600</xdr:rowOff>
                  </to>
                </anchor>
              </controlPr>
            </control>
          </mc:Choice>
        </mc:AlternateContent>
        <mc:AlternateContent xmlns:mc="http://schemas.openxmlformats.org/markup-compatibility/2006">
          <mc:Choice Requires="x14">
            <control shapeId="19689" r:id="rId83" name="Option Button 233">
              <controlPr defaultSize="0" autoFill="0" autoLine="0" autoPict="0">
                <anchor moveWithCells="1">
                  <from>
                    <xdr:col>3</xdr:col>
                    <xdr:colOff>546100</xdr:colOff>
                    <xdr:row>101</xdr:row>
                    <xdr:rowOff>50800</xdr:rowOff>
                  </from>
                  <to>
                    <xdr:col>3</xdr:col>
                    <xdr:colOff>939800</xdr:colOff>
                    <xdr:row>101</xdr:row>
                    <xdr:rowOff>215900</xdr:rowOff>
                  </to>
                </anchor>
              </controlPr>
            </control>
          </mc:Choice>
        </mc:AlternateContent>
        <mc:AlternateContent xmlns:mc="http://schemas.openxmlformats.org/markup-compatibility/2006">
          <mc:Choice Requires="x14">
            <control shapeId="19690" r:id="rId84" name="Option Button 234">
              <controlPr defaultSize="0" autoFill="0" autoLine="0" autoPict="0">
                <anchor moveWithCells="1">
                  <from>
                    <xdr:col>4</xdr:col>
                    <xdr:colOff>685800</xdr:colOff>
                    <xdr:row>101</xdr:row>
                    <xdr:rowOff>38100</xdr:rowOff>
                  </from>
                  <to>
                    <xdr:col>4</xdr:col>
                    <xdr:colOff>1104900</xdr:colOff>
                    <xdr:row>101</xdr:row>
                    <xdr:rowOff>215900</xdr:rowOff>
                  </to>
                </anchor>
              </controlPr>
            </control>
          </mc:Choice>
        </mc:AlternateContent>
        <mc:AlternateContent xmlns:mc="http://schemas.openxmlformats.org/markup-compatibility/2006">
          <mc:Choice Requires="x14">
            <control shapeId="19691" r:id="rId85" name="Option Button 235">
              <controlPr defaultSize="0" autoFill="0" autoLine="0" autoPict="0">
                <anchor moveWithCells="1">
                  <from>
                    <xdr:col>5</xdr:col>
                    <xdr:colOff>863600</xdr:colOff>
                    <xdr:row>101</xdr:row>
                    <xdr:rowOff>38100</xdr:rowOff>
                  </from>
                  <to>
                    <xdr:col>5</xdr:col>
                    <xdr:colOff>1219200</xdr:colOff>
                    <xdr:row>101</xdr:row>
                    <xdr:rowOff>228600</xdr:rowOff>
                  </to>
                </anchor>
              </controlPr>
            </control>
          </mc:Choice>
        </mc:AlternateContent>
        <mc:AlternateContent xmlns:mc="http://schemas.openxmlformats.org/markup-compatibility/2006">
          <mc:Choice Requires="x14">
            <control shapeId="19692" r:id="rId86" name="Option Button 236">
              <controlPr defaultSize="0" autoFill="0" autoLine="0" autoPict="0">
                <anchor moveWithCells="1">
                  <from>
                    <xdr:col>2</xdr:col>
                    <xdr:colOff>596900</xdr:colOff>
                    <xdr:row>103</xdr:row>
                    <xdr:rowOff>38100</xdr:rowOff>
                  </from>
                  <to>
                    <xdr:col>2</xdr:col>
                    <xdr:colOff>927100</xdr:colOff>
                    <xdr:row>103</xdr:row>
                    <xdr:rowOff>228600</xdr:rowOff>
                  </to>
                </anchor>
              </controlPr>
            </control>
          </mc:Choice>
        </mc:AlternateContent>
        <mc:AlternateContent xmlns:mc="http://schemas.openxmlformats.org/markup-compatibility/2006">
          <mc:Choice Requires="x14">
            <control shapeId="19693" r:id="rId87" name="Option Button 237">
              <controlPr defaultSize="0" autoFill="0" autoLine="0" autoPict="0">
                <anchor moveWithCells="1">
                  <from>
                    <xdr:col>3</xdr:col>
                    <xdr:colOff>546100</xdr:colOff>
                    <xdr:row>103</xdr:row>
                    <xdr:rowOff>38100</xdr:rowOff>
                  </from>
                  <to>
                    <xdr:col>3</xdr:col>
                    <xdr:colOff>901700</xdr:colOff>
                    <xdr:row>103</xdr:row>
                    <xdr:rowOff>228600</xdr:rowOff>
                  </to>
                </anchor>
              </controlPr>
            </control>
          </mc:Choice>
        </mc:AlternateContent>
        <mc:AlternateContent xmlns:mc="http://schemas.openxmlformats.org/markup-compatibility/2006">
          <mc:Choice Requires="x14">
            <control shapeId="19694" r:id="rId88" name="Option Button 238">
              <controlPr defaultSize="0" autoFill="0" autoLine="0" autoPict="0">
                <anchor moveWithCells="1">
                  <from>
                    <xdr:col>4</xdr:col>
                    <xdr:colOff>698500</xdr:colOff>
                    <xdr:row>103</xdr:row>
                    <xdr:rowOff>38100</xdr:rowOff>
                  </from>
                  <to>
                    <xdr:col>4</xdr:col>
                    <xdr:colOff>1092200</xdr:colOff>
                    <xdr:row>103</xdr:row>
                    <xdr:rowOff>228600</xdr:rowOff>
                  </to>
                </anchor>
              </controlPr>
            </control>
          </mc:Choice>
        </mc:AlternateContent>
        <mc:AlternateContent xmlns:mc="http://schemas.openxmlformats.org/markup-compatibility/2006">
          <mc:Choice Requires="x14">
            <control shapeId="19695" r:id="rId89" name="Option Button 239">
              <controlPr defaultSize="0" autoFill="0" autoLine="0" autoPict="0">
                <anchor moveWithCells="1">
                  <from>
                    <xdr:col>5</xdr:col>
                    <xdr:colOff>863600</xdr:colOff>
                    <xdr:row>103</xdr:row>
                    <xdr:rowOff>38100</xdr:rowOff>
                  </from>
                  <to>
                    <xdr:col>5</xdr:col>
                    <xdr:colOff>1231900</xdr:colOff>
                    <xdr:row>103</xdr:row>
                    <xdr:rowOff>228600</xdr:rowOff>
                  </to>
                </anchor>
              </controlPr>
            </control>
          </mc:Choice>
        </mc:AlternateContent>
        <mc:AlternateContent xmlns:mc="http://schemas.openxmlformats.org/markup-compatibility/2006">
          <mc:Choice Requires="x14">
            <control shapeId="19696" r:id="rId90" name="Option Button 240">
              <controlPr defaultSize="0" autoFill="0" autoLine="0" autoPict="0">
                <anchor moveWithCells="1">
                  <from>
                    <xdr:col>2</xdr:col>
                    <xdr:colOff>584200</xdr:colOff>
                    <xdr:row>104</xdr:row>
                    <xdr:rowOff>38100</xdr:rowOff>
                  </from>
                  <to>
                    <xdr:col>2</xdr:col>
                    <xdr:colOff>1092200</xdr:colOff>
                    <xdr:row>104</xdr:row>
                    <xdr:rowOff>228600</xdr:rowOff>
                  </to>
                </anchor>
              </controlPr>
            </control>
          </mc:Choice>
        </mc:AlternateContent>
        <mc:AlternateContent xmlns:mc="http://schemas.openxmlformats.org/markup-compatibility/2006">
          <mc:Choice Requires="x14">
            <control shapeId="19697" r:id="rId91" name="Option Button 241">
              <controlPr defaultSize="0" autoFill="0" autoLine="0" autoPict="0">
                <anchor moveWithCells="1">
                  <from>
                    <xdr:col>3</xdr:col>
                    <xdr:colOff>546100</xdr:colOff>
                    <xdr:row>104</xdr:row>
                    <xdr:rowOff>50800</xdr:rowOff>
                  </from>
                  <to>
                    <xdr:col>3</xdr:col>
                    <xdr:colOff>1244600</xdr:colOff>
                    <xdr:row>104</xdr:row>
                    <xdr:rowOff>215900</xdr:rowOff>
                  </to>
                </anchor>
              </controlPr>
            </control>
          </mc:Choice>
        </mc:AlternateContent>
        <mc:AlternateContent xmlns:mc="http://schemas.openxmlformats.org/markup-compatibility/2006">
          <mc:Choice Requires="x14">
            <control shapeId="19698" r:id="rId92" name="Option Button 242">
              <controlPr defaultSize="0" autoFill="0" autoLine="0" autoPict="0">
                <anchor moveWithCells="1">
                  <from>
                    <xdr:col>4</xdr:col>
                    <xdr:colOff>685800</xdr:colOff>
                    <xdr:row>104</xdr:row>
                    <xdr:rowOff>50800</xdr:rowOff>
                  </from>
                  <to>
                    <xdr:col>4</xdr:col>
                    <xdr:colOff>1092200</xdr:colOff>
                    <xdr:row>104</xdr:row>
                    <xdr:rowOff>215900</xdr:rowOff>
                  </to>
                </anchor>
              </controlPr>
            </control>
          </mc:Choice>
        </mc:AlternateContent>
        <mc:AlternateContent xmlns:mc="http://schemas.openxmlformats.org/markup-compatibility/2006">
          <mc:Choice Requires="x14">
            <control shapeId="19699" r:id="rId93" name="Option Button 243">
              <controlPr defaultSize="0" autoFill="0" autoLine="0" autoPict="0">
                <anchor moveWithCells="1">
                  <from>
                    <xdr:col>5</xdr:col>
                    <xdr:colOff>863600</xdr:colOff>
                    <xdr:row>104</xdr:row>
                    <xdr:rowOff>38100</xdr:rowOff>
                  </from>
                  <to>
                    <xdr:col>5</xdr:col>
                    <xdr:colOff>1270000</xdr:colOff>
                    <xdr:row>104</xdr:row>
                    <xdr:rowOff>241300</xdr:rowOff>
                  </to>
                </anchor>
              </controlPr>
            </control>
          </mc:Choice>
        </mc:AlternateContent>
        <mc:AlternateContent xmlns:mc="http://schemas.openxmlformats.org/markup-compatibility/2006">
          <mc:Choice Requires="x14">
            <control shapeId="19700" r:id="rId94" name="Option Button 244">
              <controlPr defaultSize="0" autoFill="0" autoLine="0" autoPict="0">
                <anchor moveWithCells="1">
                  <from>
                    <xdr:col>2</xdr:col>
                    <xdr:colOff>596900</xdr:colOff>
                    <xdr:row>106</xdr:row>
                    <xdr:rowOff>50800</xdr:rowOff>
                  </from>
                  <to>
                    <xdr:col>2</xdr:col>
                    <xdr:colOff>1054100</xdr:colOff>
                    <xdr:row>106</xdr:row>
                    <xdr:rowOff>228600</xdr:rowOff>
                  </to>
                </anchor>
              </controlPr>
            </control>
          </mc:Choice>
        </mc:AlternateContent>
        <mc:AlternateContent xmlns:mc="http://schemas.openxmlformats.org/markup-compatibility/2006">
          <mc:Choice Requires="x14">
            <control shapeId="19701" r:id="rId95" name="Option Button 245">
              <controlPr defaultSize="0" autoFill="0" autoLine="0" autoPict="0">
                <anchor moveWithCells="1">
                  <from>
                    <xdr:col>3</xdr:col>
                    <xdr:colOff>546100</xdr:colOff>
                    <xdr:row>106</xdr:row>
                    <xdr:rowOff>50800</xdr:rowOff>
                  </from>
                  <to>
                    <xdr:col>3</xdr:col>
                    <xdr:colOff>914400</xdr:colOff>
                    <xdr:row>106</xdr:row>
                    <xdr:rowOff>228600</xdr:rowOff>
                  </to>
                </anchor>
              </controlPr>
            </control>
          </mc:Choice>
        </mc:AlternateContent>
        <mc:AlternateContent xmlns:mc="http://schemas.openxmlformats.org/markup-compatibility/2006">
          <mc:Choice Requires="x14">
            <control shapeId="19702" r:id="rId96" name="Option Button 246">
              <controlPr defaultSize="0" autoFill="0" autoLine="0" autoPict="0">
                <anchor moveWithCells="1">
                  <from>
                    <xdr:col>4</xdr:col>
                    <xdr:colOff>685800</xdr:colOff>
                    <xdr:row>106</xdr:row>
                    <xdr:rowOff>38100</xdr:rowOff>
                  </from>
                  <to>
                    <xdr:col>4</xdr:col>
                    <xdr:colOff>1117600</xdr:colOff>
                    <xdr:row>106</xdr:row>
                    <xdr:rowOff>215900</xdr:rowOff>
                  </to>
                </anchor>
              </controlPr>
            </control>
          </mc:Choice>
        </mc:AlternateContent>
        <mc:AlternateContent xmlns:mc="http://schemas.openxmlformats.org/markup-compatibility/2006">
          <mc:Choice Requires="x14">
            <control shapeId="19703" r:id="rId97" name="Option Button 247">
              <controlPr defaultSize="0" autoFill="0" autoLine="0" autoPict="0">
                <anchor moveWithCells="1">
                  <from>
                    <xdr:col>5</xdr:col>
                    <xdr:colOff>850900</xdr:colOff>
                    <xdr:row>106</xdr:row>
                    <xdr:rowOff>38100</xdr:rowOff>
                  </from>
                  <to>
                    <xdr:col>5</xdr:col>
                    <xdr:colOff>1295400</xdr:colOff>
                    <xdr:row>106</xdr:row>
                    <xdr:rowOff>228600</xdr:rowOff>
                  </to>
                </anchor>
              </controlPr>
            </control>
          </mc:Choice>
        </mc:AlternateContent>
        <mc:AlternateContent xmlns:mc="http://schemas.openxmlformats.org/markup-compatibility/2006">
          <mc:Choice Requires="x14">
            <control shapeId="19704" r:id="rId98" name="Option Button 248">
              <controlPr defaultSize="0" autoFill="0" autoLine="0" autoPict="0">
                <anchor moveWithCells="1">
                  <from>
                    <xdr:col>2</xdr:col>
                    <xdr:colOff>584200</xdr:colOff>
                    <xdr:row>108</xdr:row>
                    <xdr:rowOff>38100</xdr:rowOff>
                  </from>
                  <to>
                    <xdr:col>2</xdr:col>
                    <xdr:colOff>1104900</xdr:colOff>
                    <xdr:row>108</xdr:row>
                    <xdr:rowOff>228600</xdr:rowOff>
                  </to>
                </anchor>
              </controlPr>
            </control>
          </mc:Choice>
        </mc:AlternateContent>
        <mc:AlternateContent xmlns:mc="http://schemas.openxmlformats.org/markup-compatibility/2006">
          <mc:Choice Requires="x14">
            <control shapeId="19705" r:id="rId99" name="Option Button 249">
              <controlPr defaultSize="0" autoFill="0" autoLine="0" autoPict="0">
                <anchor moveWithCells="1">
                  <from>
                    <xdr:col>3</xdr:col>
                    <xdr:colOff>546100</xdr:colOff>
                    <xdr:row>108</xdr:row>
                    <xdr:rowOff>38100</xdr:rowOff>
                  </from>
                  <to>
                    <xdr:col>3</xdr:col>
                    <xdr:colOff>1041400</xdr:colOff>
                    <xdr:row>108</xdr:row>
                    <xdr:rowOff>228600</xdr:rowOff>
                  </to>
                </anchor>
              </controlPr>
            </control>
          </mc:Choice>
        </mc:AlternateContent>
        <mc:AlternateContent xmlns:mc="http://schemas.openxmlformats.org/markup-compatibility/2006">
          <mc:Choice Requires="x14">
            <control shapeId="19706" r:id="rId100" name="Option Button 250">
              <controlPr defaultSize="0" autoFill="0" autoLine="0" autoPict="0">
                <anchor moveWithCells="1">
                  <from>
                    <xdr:col>4</xdr:col>
                    <xdr:colOff>698500</xdr:colOff>
                    <xdr:row>108</xdr:row>
                    <xdr:rowOff>38100</xdr:rowOff>
                  </from>
                  <to>
                    <xdr:col>4</xdr:col>
                    <xdr:colOff>1143000</xdr:colOff>
                    <xdr:row>108</xdr:row>
                    <xdr:rowOff>215900</xdr:rowOff>
                  </to>
                </anchor>
              </controlPr>
            </control>
          </mc:Choice>
        </mc:AlternateContent>
        <mc:AlternateContent xmlns:mc="http://schemas.openxmlformats.org/markup-compatibility/2006">
          <mc:Choice Requires="x14">
            <control shapeId="19707" r:id="rId101" name="Option Button 251">
              <controlPr defaultSize="0" autoFill="0" autoLine="0" autoPict="0">
                <anchor moveWithCells="1">
                  <from>
                    <xdr:col>5</xdr:col>
                    <xdr:colOff>863600</xdr:colOff>
                    <xdr:row>108</xdr:row>
                    <xdr:rowOff>38100</xdr:rowOff>
                  </from>
                  <to>
                    <xdr:col>5</xdr:col>
                    <xdr:colOff>1447800</xdr:colOff>
                    <xdr:row>108</xdr:row>
                    <xdr:rowOff>215900</xdr:rowOff>
                  </to>
                </anchor>
              </controlPr>
            </control>
          </mc:Choice>
        </mc:AlternateContent>
        <mc:AlternateContent xmlns:mc="http://schemas.openxmlformats.org/markup-compatibility/2006">
          <mc:Choice Requires="x14">
            <control shapeId="19708" r:id="rId102" name="Option Button 252">
              <controlPr defaultSize="0" autoFill="0" autoLine="0" autoPict="0">
                <anchor moveWithCells="1">
                  <from>
                    <xdr:col>2</xdr:col>
                    <xdr:colOff>596900</xdr:colOff>
                    <xdr:row>109</xdr:row>
                    <xdr:rowOff>38100</xdr:rowOff>
                  </from>
                  <to>
                    <xdr:col>2</xdr:col>
                    <xdr:colOff>1092200</xdr:colOff>
                    <xdr:row>109</xdr:row>
                    <xdr:rowOff>228600</xdr:rowOff>
                  </to>
                </anchor>
              </controlPr>
            </control>
          </mc:Choice>
        </mc:AlternateContent>
        <mc:AlternateContent xmlns:mc="http://schemas.openxmlformats.org/markup-compatibility/2006">
          <mc:Choice Requires="x14">
            <control shapeId="19709" r:id="rId103" name="Option Button 253">
              <controlPr defaultSize="0" autoFill="0" autoLine="0" autoPict="0">
                <anchor moveWithCells="1">
                  <from>
                    <xdr:col>3</xdr:col>
                    <xdr:colOff>546100</xdr:colOff>
                    <xdr:row>109</xdr:row>
                    <xdr:rowOff>38100</xdr:rowOff>
                  </from>
                  <to>
                    <xdr:col>3</xdr:col>
                    <xdr:colOff>1117600</xdr:colOff>
                    <xdr:row>109</xdr:row>
                    <xdr:rowOff>215900</xdr:rowOff>
                  </to>
                </anchor>
              </controlPr>
            </control>
          </mc:Choice>
        </mc:AlternateContent>
        <mc:AlternateContent xmlns:mc="http://schemas.openxmlformats.org/markup-compatibility/2006">
          <mc:Choice Requires="x14">
            <control shapeId="19710" r:id="rId104" name="Option Button 254">
              <controlPr defaultSize="0" autoFill="0" autoLine="0" autoPict="0">
                <anchor moveWithCells="1">
                  <from>
                    <xdr:col>4</xdr:col>
                    <xdr:colOff>698500</xdr:colOff>
                    <xdr:row>109</xdr:row>
                    <xdr:rowOff>50800</xdr:rowOff>
                  </from>
                  <to>
                    <xdr:col>4</xdr:col>
                    <xdr:colOff>1244600</xdr:colOff>
                    <xdr:row>109</xdr:row>
                    <xdr:rowOff>228600</xdr:rowOff>
                  </to>
                </anchor>
              </controlPr>
            </control>
          </mc:Choice>
        </mc:AlternateContent>
        <mc:AlternateContent xmlns:mc="http://schemas.openxmlformats.org/markup-compatibility/2006">
          <mc:Choice Requires="x14">
            <control shapeId="19711" r:id="rId105" name="Option Button 255">
              <controlPr defaultSize="0" autoFill="0" autoLine="0" autoPict="0">
                <anchor moveWithCells="1">
                  <from>
                    <xdr:col>5</xdr:col>
                    <xdr:colOff>863600</xdr:colOff>
                    <xdr:row>109</xdr:row>
                    <xdr:rowOff>38100</xdr:rowOff>
                  </from>
                  <to>
                    <xdr:col>5</xdr:col>
                    <xdr:colOff>1473200</xdr:colOff>
                    <xdr:row>109</xdr:row>
                    <xdr:rowOff>215900</xdr:rowOff>
                  </to>
                </anchor>
              </controlPr>
            </control>
          </mc:Choice>
        </mc:AlternateContent>
        <mc:AlternateContent xmlns:mc="http://schemas.openxmlformats.org/markup-compatibility/2006">
          <mc:Choice Requires="x14">
            <control shapeId="19712" r:id="rId106" name="Option Button 256">
              <controlPr defaultSize="0" autoFill="0" autoLine="0" autoPict="0">
                <anchor moveWithCells="1">
                  <from>
                    <xdr:col>2</xdr:col>
                    <xdr:colOff>596900</xdr:colOff>
                    <xdr:row>110</xdr:row>
                    <xdr:rowOff>50800</xdr:rowOff>
                  </from>
                  <to>
                    <xdr:col>2</xdr:col>
                    <xdr:colOff>1079500</xdr:colOff>
                    <xdr:row>110</xdr:row>
                    <xdr:rowOff>228600</xdr:rowOff>
                  </to>
                </anchor>
              </controlPr>
            </control>
          </mc:Choice>
        </mc:AlternateContent>
        <mc:AlternateContent xmlns:mc="http://schemas.openxmlformats.org/markup-compatibility/2006">
          <mc:Choice Requires="x14">
            <control shapeId="19713" r:id="rId107" name="Option Button 257">
              <controlPr defaultSize="0" autoFill="0" autoLine="0" autoPict="0">
                <anchor moveWithCells="1">
                  <from>
                    <xdr:col>3</xdr:col>
                    <xdr:colOff>558800</xdr:colOff>
                    <xdr:row>110</xdr:row>
                    <xdr:rowOff>38100</xdr:rowOff>
                  </from>
                  <to>
                    <xdr:col>3</xdr:col>
                    <xdr:colOff>1028700</xdr:colOff>
                    <xdr:row>110</xdr:row>
                    <xdr:rowOff>228600</xdr:rowOff>
                  </to>
                </anchor>
              </controlPr>
            </control>
          </mc:Choice>
        </mc:AlternateContent>
        <mc:AlternateContent xmlns:mc="http://schemas.openxmlformats.org/markup-compatibility/2006">
          <mc:Choice Requires="x14">
            <control shapeId="19714" r:id="rId108" name="Option Button 258">
              <controlPr defaultSize="0" autoFill="0" autoLine="0" autoPict="0">
                <anchor moveWithCells="1">
                  <from>
                    <xdr:col>4</xdr:col>
                    <xdr:colOff>698500</xdr:colOff>
                    <xdr:row>110</xdr:row>
                    <xdr:rowOff>50800</xdr:rowOff>
                  </from>
                  <to>
                    <xdr:col>4</xdr:col>
                    <xdr:colOff>1092200</xdr:colOff>
                    <xdr:row>110</xdr:row>
                    <xdr:rowOff>228600</xdr:rowOff>
                  </to>
                </anchor>
              </controlPr>
            </control>
          </mc:Choice>
        </mc:AlternateContent>
        <mc:AlternateContent xmlns:mc="http://schemas.openxmlformats.org/markup-compatibility/2006">
          <mc:Choice Requires="x14">
            <control shapeId="19715" r:id="rId109" name="Option Button 259">
              <controlPr defaultSize="0" autoFill="0" autoLine="0" autoPict="0">
                <anchor moveWithCells="1">
                  <from>
                    <xdr:col>5</xdr:col>
                    <xdr:colOff>863600</xdr:colOff>
                    <xdr:row>110</xdr:row>
                    <xdr:rowOff>38100</xdr:rowOff>
                  </from>
                  <to>
                    <xdr:col>5</xdr:col>
                    <xdr:colOff>1320800</xdr:colOff>
                    <xdr:row>110</xdr:row>
                    <xdr:rowOff>228600</xdr:rowOff>
                  </to>
                </anchor>
              </controlPr>
            </control>
          </mc:Choice>
        </mc:AlternateContent>
        <mc:AlternateContent xmlns:mc="http://schemas.openxmlformats.org/markup-compatibility/2006">
          <mc:Choice Requires="x14">
            <control shapeId="19716" r:id="rId110" name="Group Box 260">
              <controlPr defaultSize="0" autoFill="0" autoPict="0">
                <anchor moveWithCells="1">
                  <from>
                    <xdr:col>2</xdr:col>
                    <xdr:colOff>0</xdr:colOff>
                    <xdr:row>111</xdr:row>
                    <xdr:rowOff>0</xdr:rowOff>
                  </from>
                  <to>
                    <xdr:col>6</xdr:col>
                    <xdr:colOff>0</xdr:colOff>
                    <xdr:row>112</xdr:row>
                    <xdr:rowOff>0</xdr:rowOff>
                  </to>
                </anchor>
              </controlPr>
            </control>
          </mc:Choice>
        </mc:AlternateContent>
        <mc:AlternateContent xmlns:mc="http://schemas.openxmlformats.org/markup-compatibility/2006">
          <mc:Choice Requires="x14">
            <control shapeId="19717" r:id="rId111" name="Option Button 261">
              <controlPr defaultSize="0" autoFill="0" autoLine="0" autoPict="0">
                <anchor moveWithCells="1">
                  <from>
                    <xdr:col>2</xdr:col>
                    <xdr:colOff>584200</xdr:colOff>
                    <xdr:row>111</xdr:row>
                    <xdr:rowOff>50800</xdr:rowOff>
                  </from>
                  <to>
                    <xdr:col>2</xdr:col>
                    <xdr:colOff>1016000</xdr:colOff>
                    <xdr:row>111</xdr:row>
                    <xdr:rowOff>215900</xdr:rowOff>
                  </to>
                </anchor>
              </controlPr>
            </control>
          </mc:Choice>
        </mc:AlternateContent>
        <mc:AlternateContent xmlns:mc="http://schemas.openxmlformats.org/markup-compatibility/2006">
          <mc:Choice Requires="x14">
            <control shapeId="19718" r:id="rId112" name="Option Button 262">
              <controlPr defaultSize="0" autoFill="0" autoLine="0" autoPict="0">
                <anchor moveWithCells="1">
                  <from>
                    <xdr:col>3</xdr:col>
                    <xdr:colOff>546100</xdr:colOff>
                    <xdr:row>111</xdr:row>
                    <xdr:rowOff>38100</xdr:rowOff>
                  </from>
                  <to>
                    <xdr:col>3</xdr:col>
                    <xdr:colOff>1054100</xdr:colOff>
                    <xdr:row>111</xdr:row>
                    <xdr:rowOff>228600</xdr:rowOff>
                  </to>
                </anchor>
              </controlPr>
            </control>
          </mc:Choice>
        </mc:AlternateContent>
        <mc:AlternateContent xmlns:mc="http://schemas.openxmlformats.org/markup-compatibility/2006">
          <mc:Choice Requires="x14">
            <control shapeId="19719" r:id="rId113" name="Option Button 263">
              <controlPr defaultSize="0" autoFill="0" autoLine="0" autoPict="0">
                <anchor moveWithCells="1">
                  <from>
                    <xdr:col>4</xdr:col>
                    <xdr:colOff>698500</xdr:colOff>
                    <xdr:row>111</xdr:row>
                    <xdr:rowOff>50800</xdr:rowOff>
                  </from>
                  <to>
                    <xdr:col>4</xdr:col>
                    <xdr:colOff>1333500</xdr:colOff>
                    <xdr:row>111</xdr:row>
                    <xdr:rowOff>215900</xdr:rowOff>
                  </to>
                </anchor>
              </controlPr>
            </control>
          </mc:Choice>
        </mc:AlternateContent>
        <mc:AlternateContent xmlns:mc="http://schemas.openxmlformats.org/markup-compatibility/2006">
          <mc:Choice Requires="x14">
            <control shapeId="19720" r:id="rId114" name="Option Button 264">
              <controlPr defaultSize="0" autoFill="0" autoLine="0" autoPict="0">
                <anchor moveWithCells="1">
                  <from>
                    <xdr:col>5</xdr:col>
                    <xdr:colOff>863600</xdr:colOff>
                    <xdr:row>111</xdr:row>
                    <xdr:rowOff>38100</xdr:rowOff>
                  </from>
                  <to>
                    <xdr:col>5</xdr:col>
                    <xdr:colOff>1422400</xdr:colOff>
                    <xdr:row>111</xdr:row>
                    <xdr:rowOff>215900</xdr:rowOff>
                  </to>
                </anchor>
              </controlPr>
            </control>
          </mc:Choice>
        </mc:AlternateContent>
        <mc:AlternateContent xmlns:mc="http://schemas.openxmlformats.org/markup-compatibility/2006">
          <mc:Choice Requires="x14">
            <control shapeId="19740" r:id="rId115" name="Group Box 284">
              <controlPr defaultSize="0" autoFill="0" autoPict="0">
                <anchor moveWithCells="1">
                  <from>
                    <xdr:col>2</xdr:col>
                    <xdr:colOff>0</xdr:colOff>
                    <xdr:row>126</xdr:row>
                    <xdr:rowOff>0</xdr:rowOff>
                  </from>
                  <to>
                    <xdr:col>7</xdr:col>
                    <xdr:colOff>0</xdr:colOff>
                    <xdr:row>127</xdr:row>
                    <xdr:rowOff>0</xdr:rowOff>
                  </to>
                </anchor>
              </controlPr>
            </control>
          </mc:Choice>
        </mc:AlternateContent>
        <mc:AlternateContent xmlns:mc="http://schemas.openxmlformats.org/markup-compatibility/2006">
          <mc:Choice Requires="x14">
            <control shapeId="19741" r:id="rId116" name="Option Button 285">
              <controlPr defaultSize="0" autoFill="0" autoLine="0" autoPict="0">
                <anchor moveWithCells="1">
                  <from>
                    <xdr:col>2</xdr:col>
                    <xdr:colOff>596900</xdr:colOff>
                    <xdr:row>126</xdr:row>
                    <xdr:rowOff>63500</xdr:rowOff>
                  </from>
                  <to>
                    <xdr:col>2</xdr:col>
                    <xdr:colOff>1054100</xdr:colOff>
                    <xdr:row>126</xdr:row>
                    <xdr:rowOff>292100</xdr:rowOff>
                  </to>
                </anchor>
              </controlPr>
            </control>
          </mc:Choice>
        </mc:AlternateContent>
        <mc:AlternateContent xmlns:mc="http://schemas.openxmlformats.org/markup-compatibility/2006">
          <mc:Choice Requires="x14">
            <control shapeId="19742" r:id="rId117" name="Option Button 286">
              <controlPr defaultSize="0" autoFill="0" autoLine="0" autoPict="0">
                <anchor moveWithCells="1">
                  <from>
                    <xdr:col>3</xdr:col>
                    <xdr:colOff>571500</xdr:colOff>
                    <xdr:row>126</xdr:row>
                    <xdr:rowOff>50800</xdr:rowOff>
                  </from>
                  <to>
                    <xdr:col>3</xdr:col>
                    <xdr:colOff>1130300</xdr:colOff>
                    <xdr:row>126</xdr:row>
                    <xdr:rowOff>292100</xdr:rowOff>
                  </to>
                </anchor>
              </controlPr>
            </control>
          </mc:Choice>
        </mc:AlternateContent>
        <mc:AlternateContent xmlns:mc="http://schemas.openxmlformats.org/markup-compatibility/2006">
          <mc:Choice Requires="x14">
            <control shapeId="19743" r:id="rId118" name="Option Button 287">
              <controlPr defaultSize="0" autoFill="0" autoLine="0" autoPict="0">
                <anchor moveWithCells="1">
                  <from>
                    <xdr:col>4</xdr:col>
                    <xdr:colOff>736600</xdr:colOff>
                    <xdr:row>126</xdr:row>
                    <xdr:rowOff>76200</xdr:rowOff>
                  </from>
                  <to>
                    <xdr:col>4</xdr:col>
                    <xdr:colOff>1231900</xdr:colOff>
                    <xdr:row>126</xdr:row>
                    <xdr:rowOff>279400</xdr:rowOff>
                  </to>
                </anchor>
              </controlPr>
            </control>
          </mc:Choice>
        </mc:AlternateContent>
        <mc:AlternateContent xmlns:mc="http://schemas.openxmlformats.org/markup-compatibility/2006">
          <mc:Choice Requires="x14">
            <control shapeId="19744" r:id="rId119" name="Option Button 288">
              <controlPr defaultSize="0" autoFill="0" autoLine="0" autoPict="0">
                <anchor moveWithCells="1">
                  <from>
                    <xdr:col>5</xdr:col>
                    <xdr:colOff>825500</xdr:colOff>
                    <xdr:row>126</xdr:row>
                    <xdr:rowOff>50800</xdr:rowOff>
                  </from>
                  <to>
                    <xdr:col>5</xdr:col>
                    <xdr:colOff>1371600</xdr:colOff>
                    <xdr:row>126</xdr:row>
                    <xdr:rowOff>304800</xdr:rowOff>
                  </to>
                </anchor>
              </controlPr>
            </control>
          </mc:Choice>
        </mc:AlternateContent>
        <mc:AlternateContent xmlns:mc="http://schemas.openxmlformats.org/markup-compatibility/2006">
          <mc:Choice Requires="x14">
            <control shapeId="19745" r:id="rId120" name="Option Button 289">
              <controlPr defaultSize="0" autoFill="0" autoLine="0" autoPict="0">
                <anchor moveWithCells="1">
                  <from>
                    <xdr:col>6</xdr:col>
                    <xdr:colOff>622300</xdr:colOff>
                    <xdr:row>126</xdr:row>
                    <xdr:rowOff>63500</xdr:rowOff>
                  </from>
                  <to>
                    <xdr:col>6</xdr:col>
                    <xdr:colOff>1066800</xdr:colOff>
                    <xdr:row>126</xdr:row>
                    <xdr:rowOff>279400</xdr:rowOff>
                  </to>
                </anchor>
              </controlPr>
            </control>
          </mc:Choice>
        </mc:AlternateContent>
        <mc:AlternateContent xmlns:mc="http://schemas.openxmlformats.org/markup-compatibility/2006">
          <mc:Choice Requires="x14">
            <control shapeId="19752" r:id="rId121" name="Group Box 296">
              <controlPr defaultSize="0" autoFill="0" autoPict="0">
                <anchor moveWithCells="1">
                  <from>
                    <xdr:col>2</xdr:col>
                    <xdr:colOff>12700</xdr:colOff>
                    <xdr:row>127</xdr:row>
                    <xdr:rowOff>0</xdr:rowOff>
                  </from>
                  <to>
                    <xdr:col>7</xdr:col>
                    <xdr:colOff>0</xdr:colOff>
                    <xdr:row>128</xdr:row>
                    <xdr:rowOff>0</xdr:rowOff>
                  </to>
                </anchor>
              </controlPr>
            </control>
          </mc:Choice>
        </mc:AlternateContent>
        <mc:AlternateContent xmlns:mc="http://schemas.openxmlformats.org/markup-compatibility/2006">
          <mc:Choice Requires="x14">
            <control shapeId="19753" r:id="rId122" name="Option Button 297">
              <controlPr defaultSize="0" autoFill="0" autoLine="0" autoPict="0">
                <anchor moveWithCells="1">
                  <from>
                    <xdr:col>2</xdr:col>
                    <xdr:colOff>596900</xdr:colOff>
                    <xdr:row>127</xdr:row>
                    <xdr:rowOff>76200</xdr:rowOff>
                  </from>
                  <to>
                    <xdr:col>2</xdr:col>
                    <xdr:colOff>1130300</xdr:colOff>
                    <xdr:row>127</xdr:row>
                    <xdr:rowOff>304800</xdr:rowOff>
                  </to>
                </anchor>
              </controlPr>
            </control>
          </mc:Choice>
        </mc:AlternateContent>
        <mc:AlternateContent xmlns:mc="http://schemas.openxmlformats.org/markup-compatibility/2006">
          <mc:Choice Requires="x14">
            <control shapeId="19754" r:id="rId123" name="Option Button 298">
              <controlPr defaultSize="0" autoFill="0" autoLine="0" autoPict="0">
                <anchor moveWithCells="1">
                  <from>
                    <xdr:col>3</xdr:col>
                    <xdr:colOff>571500</xdr:colOff>
                    <xdr:row>127</xdr:row>
                    <xdr:rowOff>63500</xdr:rowOff>
                  </from>
                  <to>
                    <xdr:col>3</xdr:col>
                    <xdr:colOff>1028700</xdr:colOff>
                    <xdr:row>127</xdr:row>
                    <xdr:rowOff>304800</xdr:rowOff>
                  </to>
                </anchor>
              </controlPr>
            </control>
          </mc:Choice>
        </mc:AlternateContent>
        <mc:AlternateContent xmlns:mc="http://schemas.openxmlformats.org/markup-compatibility/2006">
          <mc:Choice Requires="x14">
            <control shapeId="19755" r:id="rId124" name="Option Button 299">
              <controlPr defaultSize="0" autoFill="0" autoLine="0" autoPict="0">
                <anchor moveWithCells="1">
                  <from>
                    <xdr:col>4</xdr:col>
                    <xdr:colOff>736600</xdr:colOff>
                    <xdr:row>127</xdr:row>
                    <xdr:rowOff>50800</xdr:rowOff>
                  </from>
                  <to>
                    <xdr:col>4</xdr:col>
                    <xdr:colOff>1231900</xdr:colOff>
                    <xdr:row>127</xdr:row>
                    <xdr:rowOff>304800</xdr:rowOff>
                  </to>
                </anchor>
              </controlPr>
            </control>
          </mc:Choice>
        </mc:AlternateContent>
        <mc:AlternateContent xmlns:mc="http://schemas.openxmlformats.org/markup-compatibility/2006">
          <mc:Choice Requires="x14">
            <control shapeId="19756" r:id="rId125" name="Option Button 300">
              <controlPr defaultSize="0" autoFill="0" autoLine="0" autoPict="0">
                <anchor moveWithCells="1">
                  <from>
                    <xdr:col>5</xdr:col>
                    <xdr:colOff>825500</xdr:colOff>
                    <xdr:row>127</xdr:row>
                    <xdr:rowOff>50800</xdr:rowOff>
                  </from>
                  <to>
                    <xdr:col>5</xdr:col>
                    <xdr:colOff>1308100</xdr:colOff>
                    <xdr:row>127</xdr:row>
                    <xdr:rowOff>292100</xdr:rowOff>
                  </to>
                </anchor>
              </controlPr>
            </control>
          </mc:Choice>
        </mc:AlternateContent>
        <mc:AlternateContent xmlns:mc="http://schemas.openxmlformats.org/markup-compatibility/2006">
          <mc:Choice Requires="x14">
            <control shapeId="19757" r:id="rId126" name="Option Button 301">
              <controlPr defaultSize="0" autoFill="0" autoLine="0" autoPict="0">
                <anchor moveWithCells="1">
                  <from>
                    <xdr:col>6</xdr:col>
                    <xdr:colOff>622300</xdr:colOff>
                    <xdr:row>127</xdr:row>
                    <xdr:rowOff>63500</xdr:rowOff>
                  </from>
                  <to>
                    <xdr:col>6</xdr:col>
                    <xdr:colOff>1130300</xdr:colOff>
                    <xdr:row>127</xdr:row>
                    <xdr:rowOff>304800</xdr:rowOff>
                  </to>
                </anchor>
              </controlPr>
            </control>
          </mc:Choice>
        </mc:AlternateContent>
        <mc:AlternateContent xmlns:mc="http://schemas.openxmlformats.org/markup-compatibility/2006">
          <mc:Choice Requires="x14">
            <control shapeId="19758" r:id="rId127" name="Group Box 302">
              <controlPr defaultSize="0" autoFill="0" autoPict="0">
                <anchor moveWithCells="1">
                  <from>
                    <xdr:col>2</xdr:col>
                    <xdr:colOff>12700</xdr:colOff>
                    <xdr:row>128</xdr:row>
                    <xdr:rowOff>12700</xdr:rowOff>
                  </from>
                  <to>
                    <xdr:col>7</xdr:col>
                    <xdr:colOff>0</xdr:colOff>
                    <xdr:row>128</xdr:row>
                    <xdr:rowOff>342900</xdr:rowOff>
                  </to>
                </anchor>
              </controlPr>
            </control>
          </mc:Choice>
        </mc:AlternateContent>
        <mc:AlternateContent xmlns:mc="http://schemas.openxmlformats.org/markup-compatibility/2006">
          <mc:Choice Requires="x14">
            <control shapeId="19759" r:id="rId128" name="Option Button 303">
              <controlPr defaultSize="0" autoFill="0" autoLine="0" autoPict="0">
                <anchor moveWithCells="1">
                  <from>
                    <xdr:col>2</xdr:col>
                    <xdr:colOff>596900</xdr:colOff>
                    <xdr:row>128</xdr:row>
                    <xdr:rowOff>50800</xdr:rowOff>
                  </from>
                  <to>
                    <xdr:col>2</xdr:col>
                    <xdr:colOff>1028700</xdr:colOff>
                    <xdr:row>128</xdr:row>
                    <xdr:rowOff>304800</xdr:rowOff>
                  </to>
                </anchor>
              </controlPr>
            </control>
          </mc:Choice>
        </mc:AlternateContent>
        <mc:AlternateContent xmlns:mc="http://schemas.openxmlformats.org/markup-compatibility/2006">
          <mc:Choice Requires="x14">
            <control shapeId="19760" r:id="rId129" name="Option Button 304">
              <controlPr defaultSize="0" autoFill="0" autoLine="0" autoPict="0">
                <anchor moveWithCells="1">
                  <from>
                    <xdr:col>3</xdr:col>
                    <xdr:colOff>571500</xdr:colOff>
                    <xdr:row>128</xdr:row>
                    <xdr:rowOff>63500</xdr:rowOff>
                  </from>
                  <to>
                    <xdr:col>3</xdr:col>
                    <xdr:colOff>1092200</xdr:colOff>
                    <xdr:row>128</xdr:row>
                    <xdr:rowOff>292100</xdr:rowOff>
                  </to>
                </anchor>
              </controlPr>
            </control>
          </mc:Choice>
        </mc:AlternateContent>
        <mc:AlternateContent xmlns:mc="http://schemas.openxmlformats.org/markup-compatibility/2006">
          <mc:Choice Requires="x14">
            <control shapeId="19761" r:id="rId130" name="Option Button 305">
              <controlPr defaultSize="0" autoFill="0" autoLine="0" autoPict="0">
                <anchor moveWithCells="1">
                  <from>
                    <xdr:col>4</xdr:col>
                    <xdr:colOff>723900</xdr:colOff>
                    <xdr:row>128</xdr:row>
                    <xdr:rowOff>50800</xdr:rowOff>
                  </from>
                  <to>
                    <xdr:col>4</xdr:col>
                    <xdr:colOff>1282700</xdr:colOff>
                    <xdr:row>128</xdr:row>
                    <xdr:rowOff>304800</xdr:rowOff>
                  </to>
                </anchor>
              </controlPr>
            </control>
          </mc:Choice>
        </mc:AlternateContent>
        <mc:AlternateContent xmlns:mc="http://schemas.openxmlformats.org/markup-compatibility/2006">
          <mc:Choice Requires="x14">
            <control shapeId="19762" r:id="rId131" name="Option Button 306">
              <controlPr defaultSize="0" autoFill="0" autoLine="0" autoPict="0">
                <anchor moveWithCells="1">
                  <from>
                    <xdr:col>5</xdr:col>
                    <xdr:colOff>825500</xdr:colOff>
                    <xdr:row>128</xdr:row>
                    <xdr:rowOff>76200</xdr:rowOff>
                  </from>
                  <to>
                    <xdr:col>5</xdr:col>
                    <xdr:colOff>1333500</xdr:colOff>
                    <xdr:row>128</xdr:row>
                    <xdr:rowOff>292100</xdr:rowOff>
                  </to>
                </anchor>
              </controlPr>
            </control>
          </mc:Choice>
        </mc:AlternateContent>
        <mc:AlternateContent xmlns:mc="http://schemas.openxmlformats.org/markup-compatibility/2006">
          <mc:Choice Requires="x14">
            <control shapeId="19763" r:id="rId132" name="Option Button 307">
              <controlPr defaultSize="0" autoFill="0" autoLine="0" autoPict="0">
                <anchor moveWithCells="1">
                  <from>
                    <xdr:col>6</xdr:col>
                    <xdr:colOff>622300</xdr:colOff>
                    <xdr:row>128</xdr:row>
                    <xdr:rowOff>63500</xdr:rowOff>
                  </from>
                  <to>
                    <xdr:col>6</xdr:col>
                    <xdr:colOff>1206500</xdr:colOff>
                    <xdr:row>128</xdr:row>
                    <xdr:rowOff>304800</xdr:rowOff>
                  </to>
                </anchor>
              </controlPr>
            </control>
          </mc:Choice>
        </mc:AlternateContent>
        <mc:AlternateContent xmlns:mc="http://schemas.openxmlformats.org/markup-compatibility/2006">
          <mc:Choice Requires="x14">
            <control shapeId="19764" r:id="rId133" name="Group Box 308">
              <controlPr defaultSize="0" autoFill="0" autoPict="0">
                <anchor moveWithCells="1">
                  <from>
                    <xdr:col>0</xdr:col>
                    <xdr:colOff>25400</xdr:colOff>
                    <xdr:row>247</xdr:row>
                    <xdr:rowOff>241300</xdr:rowOff>
                  </from>
                  <to>
                    <xdr:col>1</xdr:col>
                    <xdr:colOff>0</xdr:colOff>
                    <xdr:row>251</xdr:row>
                    <xdr:rowOff>88900</xdr:rowOff>
                  </to>
                </anchor>
              </controlPr>
            </control>
          </mc:Choice>
        </mc:AlternateContent>
        <mc:AlternateContent xmlns:mc="http://schemas.openxmlformats.org/markup-compatibility/2006">
          <mc:Choice Requires="x14">
            <control shapeId="19765" r:id="rId134" name="Option Button 309">
              <controlPr defaultSize="0" autoFill="0" autoLine="0" autoPict="0">
                <anchor moveWithCells="1">
                  <from>
                    <xdr:col>0</xdr:col>
                    <xdr:colOff>165100</xdr:colOff>
                    <xdr:row>247</xdr:row>
                    <xdr:rowOff>304800</xdr:rowOff>
                  </from>
                  <to>
                    <xdr:col>0</xdr:col>
                    <xdr:colOff>520700</xdr:colOff>
                    <xdr:row>249</xdr:row>
                    <xdr:rowOff>12700</xdr:rowOff>
                  </to>
                </anchor>
              </controlPr>
            </control>
          </mc:Choice>
        </mc:AlternateContent>
        <mc:AlternateContent xmlns:mc="http://schemas.openxmlformats.org/markup-compatibility/2006">
          <mc:Choice Requires="x14">
            <control shapeId="19766" r:id="rId135" name="Option Button 310">
              <controlPr defaultSize="0" autoFill="0" autoLine="0" autoPict="0">
                <anchor moveWithCells="1">
                  <from>
                    <xdr:col>0</xdr:col>
                    <xdr:colOff>165100</xdr:colOff>
                    <xdr:row>249</xdr:row>
                    <xdr:rowOff>12700</xdr:rowOff>
                  </from>
                  <to>
                    <xdr:col>0</xdr:col>
                    <xdr:colOff>558800</xdr:colOff>
                    <xdr:row>249</xdr:row>
                    <xdr:rowOff>203200</xdr:rowOff>
                  </to>
                </anchor>
              </controlPr>
            </control>
          </mc:Choice>
        </mc:AlternateContent>
        <mc:AlternateContent xmlns:mc="http://schemas.openxmlformats.org/markup-compatibility/2006">
          <mc:Choice Requires="x14">
            <control shapeId="19767" r:id="rId136" name="Option Button 311">
              <controlPr defaultSize="0" autoFill="0" autoLine="0" autoPict="0">
                <anchor moveWithCells="1">
                  <from>
                    <xdr:col>0</xdr:col>
                    <xdr:colOff>165100</xdr:colOff>
                    <xdr:row>250</xdr:row>
                    <xdr:rowOff>0</xdr:rowOff>
                  </from>
                  <to>
                    <xdr:col>0</xdr:col>
                    <xdr:colOff>508000</xdr:colOff>
                    <xdr:row>251</xdr:row>
                    <xdr:rowOff>0</xdr:rowOff>
                  </to>
                </anchor>
              </controlPr>
            </control>
          </mc:Choice>
        </mc:AlternateContent>
        <mc:AlternateContent xmlns:mc="http://schemas.openxmlformats.org/markup-compatibility/2006">
          <mc:Choice Requires="x14">
            <control shapeId="19768" r:id="rId137" name="Group Box 312">
              <controlPr defaultSize="0" autoFill="0" autoPict="0">
                <anchor moveWithCells="1">
                  <from>
                    <xdr:col>0</xdr:col>
                    <xdr:colOff>0</xdr:colOff>
                    <xdr:row>273</xdr:row>
                    <xdr:rowOff>127000</xdr:rowOff>
                  </from>
                  <to>
                    <xdr:col>1</xdr:col>
                    <xdr:colOff>0</xdr:colOff>
                    <xdr:row>278</xdr:row>
                    <xdr:rowOff>63500</xdr:rowOff>
                  </to>
                </anchor>
              </controlPr>
            </control>
          </mc:Choice>
        </mc:AlternateContent>
        <mc:AlternateContent xmlns:mc="http://schemas.openxmlformats.org/markup-compatibility/2006">
          <mc:Choice Requires="x14">
            <control shapeId="19769" r:id="rId138" name="Option Button 313">
              <controlPr defaultSize="0" autoFill="0" autoLine="0" autoPict="0">
                <anchor moveWithCells="1">
                  <from>
                    <xdr:col>0</xdr:col>
                    <xdr:colOff>152400</xdr:colOff>
                    <xdr:row>274</xdr:row>
                    <xdr:rowOff>25400</xdr:rowOff>
                  </from>
                  <to>
                    <xdr:col>0</xdr:col>
                    <xdr:colOff>469900</xdr:colOff>
                    <xdr:row>275</xdr:row>
                    <xdr:rowOff>0</xdr:rowOff>
                  </to>
                </anchor>
              </controlPr>
            </control>
          </mc:Choice>
        </mc:AlternateContent>
        <mc:AlternateContent xmlns:mc="http://schemas.openxmlformats.org/markup-compatibility/2006">
          <mc:Choice Requires="x14">
            <control shapeId="19770" r:id="rId139" name="Option Button 314">
              <controlPr defaultSize="0" autoFill="0" autoLine="0" autoPict="0">
                <anchor moveWithCells="1">
                  <from>
                    <xdr:col>0</xdr:col>
                    <xdr:colOff>152400</xdr:colOff>
                    <xdr:row>275</xdr:row>
                    <xdr:rowOff>12700</xdr:rowOff>
                  </from>
                  <to>
                    <xdr:col>0</xdr:col>
                    <xdr:colOff>469900</xdr:colOff>
                    <xdr:row>276</xdr:row>
                    <xdr:rowOff>12700</xdr:rowOff>
                  </to>
                </anchor>
              </controlPr>
            </control>
          </mc:Choice>
        </mc:AlternateContent>
        <mc:AlternateContent xmlns:mc="http://schemas.openxmlformats.org/markup-compatibility/2006">
          <mc:Choice Requires="x14">
            <control shapeId="19771" r:id="rId140" name="Option Button 315">
              <controlPr defaultSize="0" autoFill="0" autoLine="0" autoPict="0">
                <anchor moveWithCells="1">
                  <from>
                    <xdr:col>0</xdr:col>
                    <xdr:colOff>152400</xdr:colOff>
                    <xdr:row>276</xdr:row>
                    <xdr:rowOff>12700</xdr:rowOff>
                  </from>
                  <to>
                    <xdr:col>0</xdr:col>
                    <xdr:colOff>520700</xdr:colOff>
                    <xdr:row>276</xdr:row>
                    <xdr:rowOff>203200</xdr:rowOff>
                  </to>
                </anchor>
              </controlPr>
            </control>
          </mc:Choice>
        </mc:AlternateContent>
        <mc:AlternateContent xmlns:mc="http://schemas.openxmlformats.org/markup-compatibility/2006">
          <mc:Choice Requires="x14">
            <control shapeId="19772" r:id="rId141" name="Option Button 316">
              <controlPr defaultSize="0" autoFill="0" autoLine="0" autoPict="0">
                <anchor moveWithCells="1">
                  <from>
                    <xdr:col>0</xdr:col>
                    <xdr:colOff>152400</xdr:colOff>
                    <xdr:row>277</xdr:row>
                    <xdr:rowOff>0</xdr:rowOff>
                  </from>
                  <to>
                    <xdr:col>0</xdr:col>
                    <xdr:colOff>508000</xdr:colOff>
                    <xdr:row>278</xdr:row>
                    <xdr:rowOff>0</xdr:rowOff>
                  </to>
                </anchor>
              </controlPr>
            </control>
          </mc:Choice>
        </mc:AlternateContent>
        <mc:AlternateContent xmlns:mc="http://schemas.openxmlformats.org/markup-compatibility/2006">
          <mc:Choice Requires="x14">
            <control shapeId="19773" r:id="rId142" name="Group Box 317">
              <controlPr defaultSize="0" autoFill="0" autoPict="0">
                <anchor moveWithCells="1">
                  <from>
                    <xdr:col>0</xdr:col>
                    <xdr:colOff>0</xdr:colOff>
                    <xdr:row>81</xdr:row>
                    <xdr:rowOff>406400</xdr:rowOff>
                  </from>
                  <to>
                    <xdr:col>0</xdr:col>
                    <xdr:colOff>558800</xdr:colOff>
                    <xdr:row>87</xdr:row>
                    <xdr:rowOff>76200</xdr:rowOff>
                  </to>
                </anchor>
              </controlPr>
            </control>
          </mc:Choice>
        </mc:AlternateContent>
        <mc:AlternateContent xmlns:mc="http://schemas.openxmlformats.org/markup-compatibility/2006">
          <mc:Choice Requires="x14">
            <control shapeId="19774" r:id="rId143" name="Option Button 318">
              <controlPr defaultSize="0" autoFill="0" autoLine="0" autoPict="0">
                <anchor moveWithCells="1">
                  <from>
                    <xdr:col>0</xdr:col>
                    <xdr:colOff>114300</xdr:colOff>
                    <xdr:row>82</xdr:row>
                    <xdr:rowOff>0</xdr:rowOff>
                  </from>
                  <to>
                    <xdr:col>0</xdr:col>
                    <xdr:colOff>533400</xdr:colOff>
                    <xdr:row>83</xdr:row>
                    <xdr:rowOff>0</xdr:rowOff>
                  </to>
                </anchor>
              </controlPr>
            </control>
          </mc:Choice>
        </mc:AlternateContent>
        <mc:AlternateContent xmlns:mc="http://schemas.openxmlformats.org/markup-compatibility/2006">
          <mc:Choice Requires="x14">
            <control shapeId="19775" r:id="rId144" name="Option Button 319">
              <controlPr defaultSize="0" autoFill="0" autoLine="0" autoPict="0">
                <anchor moveWithCells="1">
                  <from>
                    <xdr:col>0</xdr:col>
                    <xdr:colOff>114300</xdr:colOff>
                    <xdr:row>84</xdr:row>
                    <xdr:rowOff>0</xdr:rowOff>
                  </from>
                  <to>
                    <xdr:col>0</xdr:col>
                    <xdr:colOff>482600</xdr:colOff>
                    <xdr:row>85</xdr:row>
                    <xdr:rowOff>0</xdr:rowOff>
                  </to>
                </anchor>
              </controlPr>
            </control>
          </mc:Choice>
        </mc:AlternateContent>
        <mc:AlternateContent xmlns:mc="http://schemas.openxmlformats.org/markup-compatibility/2006">
          <mc:Choice Requires="x14">
            <control shapeId="19776" r:id="rId145" name="Option Button 320">
              <controlPr defaultSize="0" autoFill="0" autoLine="0" autoPict="0">
                <anchor moveWithCells="1">
                  <from>
                    <xdr:col>0</xdr:col>
                    <xdr:colOff>114300</xdr:colOff>
                    <xdr:row>85</xdr:row>
                    <xdr:rowOff>0</xdr:rowOff>
                  </from>
                  <to>
                    <xdr:col>0</xdr:col>
                    <xdr:colOff>495300</xdr:colOff>
                    <xdr:row>86</xdr:row>
                    <xdr:rowOff>0</xdr:rowOff>
                  </to>
                </anchor>
              </controlPr>
            </control>
          </mc:Choice>
        </mc:AlternateContent>
        <mc:AlternateContent xmlns:mc="http://schemas.openxmlformats.org/markup-compatibility/2006">
          <mc:Choice Requires="x14">
            <control shapeId="19777" r:id="rId146" name="Option Button 321">
              <controlPr defaultSize="0" autoFill="0" autoLine="0" autoPict="0">
                <anchor moveWithCells="1">
                  <from>
                    <xdr:col>0</xdr:col>
                    <xdr:colOff>114300</xdr:colOff>
                    <xdr:row>85</xdr:row>
                    <xdr:rowOff>203200</xdr:rowOff>
                  </from>
                  <to>
                    <xdr:col>0</xdr:col>
                    <xdr:colOff>495300</xdr:colOff>
                    <xdr:row>87</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0F44A-E94D-644C-AA65-A025A0AEFDF1}">
  <dimension ref="A1:V127"/>
  <sheetViews>
    <sheetView showGridLines="0" showRowColHeaders="0" showRuler="0" topLeftCell="A127" zoomScale="120" zoomScaleNormal="120" zoomScalePageLayoutView="145" workbookViewId="0">
      <selection activeCell="E85" sqref="E85"/>
    </sheetView>
  </sheetViews>
  <sheetFormatPr defaultColWidth="8.6640625" defaultRowHeight="0" customHeight="1" zeroHeight="1" x14ac:dyDescent="0.25"/>
  <cols>
    <col min="1" max="1" width="4" style="2" customWidth="1"/>
    <col min="2" max="2" width="20.83203125" style="1" customWidth="1"/>
    <col min="3" max="7" width="11.6640625" style="1" customWidth="1"/>
    <col min="8" max="8" width="9.1640625" style="1" hidden="1" customWidth="1"/>
    <col min="9" max="10" width="8.6640625" style="1" hidden="1" customWidth="1"/>
    <col min="11" max="11" width="34.5" style="1" hidden="1" customWidth="1"/>
    <col min="12" max="22" width="8.6640625" style="1" hidden="1" customWidth="1"/>
    <col min="23" max="26" width="0" style="1" hidden="1" customWidth="1"/>
    <col min="27" max="16384" width="8.6640625" style="1"/>
  </cols>
  <sheetData>
    <row r="1" spans="1:11" ht="18" x14ac:dyDescent="0.25">
      <c r="A1" s="548" t="s">
        <v>510</v>
      </c>
      <c r="B1" s="548"/>
      <c r="C1" s="548"/>
      <c r="D1" s="548"/>
      <c r="E1" s="548"/>
      <c r="F1" s="548"/>
      <c r="G1" s="548"/>
    </row>
    <row r="2" spans="1:11" ht="12.5" x14ac:dyDescent="0.25"/>
    <row r="3" spans="1:11" ht="15.5" x14ac:dyDescent="0.35">
      <c r="B3" s="95" t="s">
        <v>509</v>
      </c>
    </row>
    <row r="4" spans="1:11" ht="17" customHeight="1" x14ac:dyDescent="0.3">
      <c r="B4" s="706"/>
      <c r="C4" s="549"/>
      <c r="D4" s="549"/>
      <c r="E4" s="728" t="s">
        <v>1108</v>
      </c>
      <c r="F4" s="728"/>
      <c r="G4" s="48"/>
    </row>
    <row r="5" spans="1:11" ht="31" customHeight="1" x14ac:dyDescent="0.25">
      <c r="A5" s="3" t="s">
        <v>508</v>
      </c>
      <c r="B5" s="550" t="s">
        <v>507</v>
      </c>
      <c r="C5" s="550"/>
      <c r="D5" s="550"/>
      <c r="E5" s="729" t="s">
        <v>1987</v>
      </c>
      <c r="F5" s="729"/>
      <c r="K5" s="1" t="str" cm="1">
        <f t="array" ref="K5">_xlfn.IFS($E$5="YES", "Yes", $E$5="yes", "Yes", $E$5="Yes", "Yes", $E$5="NO", "No", $E$5="no", "No", $E$5="No", "No")</f>
        <v>Yes</v>
      </c>
    </row>
    <row r="6" spans="1:11" ht="46" customHeight="1" x14ac:dyDescent="0.25">
      <c r="A6" s="3"/>
      <c r="B6" s="550" t="s">
        <v>506</v>
      </c>
      <c r="C6" s="550"/>
      <c r="D6" s="550"/>
      <c r="E6" s="729" t="s">
        <v>1987</v>
      </c>
      <c r="F6" s="729"/>
      <c r="K6" s="1" t="str" cm="1">
        <f t="array" ref="K6">_xlfn.IFS($E$6="YES", "Yes", $E$6="yes", "Yes", $E$6="Yes", "Yes", $E$6="NO", "No", $E$6="no", "No", $E$6="No", "No")</f>
        <v>Yes</v>
      </c>
    </row>
    <row r="7" spans="1:11" ht="21" customHeight="1" x14ac:dyDescent="0.25">
      <c r="A7" s="3"/>
      <c r="B7" s="5"/>
      <c r="C7" s="5"/>
      <c r="D7" s="5"/>
      <c r="E7" s="60"/>
    </row>
    <row r="8" spans="1:11" ht="35" customHeight="1" x14ac:dyDescent="0.25">
      <c r="A8" s="3" t="s">
        <v>505</v>
      </c>
      <c r="B8" s="727" t="s">
        <v>1880</v>
      </c>
      <c r="C8" s="727"/>
      <c r="D8" s="727"/>
      <c r="E8" s="727"/>
      <c r="F8" s="727"/>
      <c r="G8" s="727"/>
    </row>
    <row r="9" spans="1:11" ht="30" customHeight="1" x14ac:dyDescent="0.25">
      <c r="A9" s="3"/>
      <c r="B9" s="702" t="s">
        <v>1483</v>
      </c>
      <c r="C9" s="702"/>
      <c r="D9" s="702"/>
      <c r="E9" s="702"/>
      <c r="F9" s="702"/>
      <c r="G9" s="702"/>
      <c r="H9" s="57"/>
      <c r="I9" s="57"/>
    </row>
    <row r="10" spans="1:11" ht="12" customHeight="1" x14ac:dyDescent="0.25">
      <c r="A10" s="3"/>
    </row>
    <row r="11" spans="1:11" ht="26" x14ac:dyDescent="0.25">
      <c r="A11" s="3"/>
      <c r="B11" s="147"/>
      <c r="C11" s="14" t="s">
        <v>504</v>
      </c>
      <c r="D11" s="14" t="s">
        <v>503</v>
      </c>
      <c r="E11" s="14" t="s">
        <v>502</v>
      </c>
      <c r="F11" s="146"/>
    </row>
    <row r="12" spans="1:11" ht="16" customHeight="1" x14ac:dyDescent="0.25">
      <c r="A12" s="3"/>
      <c r="B12" s="44" t="s">
        <v>372</v>
      </c>
      <c r="C12" s="274">
        <v>21</v>
      </c>
      <c r="D12" s="274">
        <v>10</v>
      </c>
      <c r="E12" s="274">
        <v>5</v>
      </c>
      <c r="F12" s="144"/>
    </row>
    <row r="13" spans="1:11" ht="16" customHeight="1" x14ac:dyDescent="0.25">
      <c r="A13" s="3"/>
      <c r="B13" s="44" t="s">
        <v>371</v>
      </c>
      <c r="C13" s="274">
        <v>30</v>
      </c>
      <c r="D13" s="274">
        <v>11</v>
      </c>
      <c r="E13" s="274">
        <v>8</v>
      </c>
      <c r="F13" s="144"/>
    </row>
    <row r="14" spans="1:11" ht="16" customHeight="1" x14ac:dyDescent="0.25">
      <c r="A14" s="3"/>
      <c r="B14" s="44" t="s">
        <v>1278</v>
      </c>
      <c r="C14" s="274">
        <v>0</v>
      </c>
      <c r="D14" s="274">
        <v>0</v>
      </c>
      <c r="E14" s="274">
        <v>0</v>
      </c>
      <c r="F14" s="144"/>
    </row>
    <row r="15" spans="1:11" ht="16" customHeight="1" x14ac:dyDescent="0.25">
      <c r="A15" s="3"/>
      <c r="B15" s="86" t="s">
        <v>190</v>
      </c>
      <c r="C15" s="145">
        <f>SUM(C12:C14)</f>
        <v>51</v>
      </c>
      <c r="D15" s="145">
        <f t="shared" ref="D15:E15" si="0">SUM(D12:D14)</f>
        <v>21</v>
      </c>
      <c r="E15" s="145">
        <f t="shared" si="0"/>
        <v>13</v>
      </c>
      <c r="F15" s="144"/>
    </row>
    <row r="16" spans="1:11" ht="24" customHeight="1" x14ac:dyDescent="0.25"/>
    <row r="17" spans="1:13" ht="15.5" x14ac:dyDescent="0.25">
      <c r="B17" s="138" t="s">
        <v>501</v>
      </c>
      <c r="C17" s="2"/>
      <c r="D17" s="65"/>
    </row>
    <row r="18" spans="1:13" ht="21" customHeight="1" x14ac:dyDescent="0.25">
      <c r="A18" s="38" t="s">
        <v>500</v>
      </c>
      <c r="B18" s="724" t="s">
        <v>499</v>
      </c>
      <c r="C18" s="724"/>
      <c r="D18" s="724"/>
    </row>
    <row r="19" spans="1:13" ht="13" x14ac:dyDescent="0.25">
      <c r="A19" s="3"/>
      <c r="B19" s="2"/>
      <c r="C19" s="2"/>
      <c r="D19" s="2"/>
    </row>
    <row r="20" spans="1:13" ht="17" customHeight="1" x14ac:dyDescent="0.25">
      <c r="A20" s="60"/>
      <c r="B20" s="11" t="s">
        <v>467</v>
      </c>
      <c r="C20" s="275" t="b">
        <v>1</v>
      </c>
      <c r="J20" s="143"/>
      <c r="K20" s="1" t="str" cm="1">
        <f t="array" ref="K20">_xlfn.IFS($C$20=TRUE, "Fall|", $C$20=FALSE, "")</f>
        <v>Fall|</v>
      </c>
    </row>
    <row r="21" spans="1:13" ht="17" customHeight="1" x14ac:dyDescent="0.25">
      <c r="A21" s="60"/>
      <c r="B21" s="11" t="s">
        <v>466</v>
      </c>
      <c r="C21" s="275" t="b">
        <v>0</v>
      </c>
      <c r="J21" s="143"/>
      <c r="K21" s="1" t="str" cm="1">
        <f t="array" ref="K21">_xlfn.IFS($C$21=TRUE, "Winter|", $C$21=FALSE, "")</f>
        <v/>
      </c>
    </row>
    <row r="22" spans="1:13" ht="17" customHeight="1" x14ac:dyDescent="0.25">
      <c r="A22" s="60"/>
      <c r="B22" s="11" t="s">
        <v>465</v>
      </c>
      <c r="C22" s="275" t="b">
        <v>1</v>
      </c>
      <c r="J22" s="143"/>
      <c r="K22" s="1" t="str" cm="1">
        <f t="array" ref="K22">_xlfn.IFS($C$22=TRUE, "Spring|", $C$22=FALSE, "")</f>
        <v>Spring|</v>
      </c>
    </row>
    <row r="23" spans="1:13" ht="17" customHeight="1" x14ac:dyDescent="0.25">
      <c r="A23" s="60"/>
      <c r="B23" s="11" t="s">
        <v>463</v>
      </c>
      <c r="C23" s="275" t="b">
        <v>0</v>
      </c>
      <c r="J23" s="143"/>
      <c r="K23" s="1" t="str" cm="1">
        <f t="array" ref="K23">_xlfn.IFS($C$23=TRUE, "Summer|", $C$23=FALSE, "")</f>
        <v/>
      </c>
    </row>
    <row r="24" spans="1:13" ht="21" customHeight="1" x14ac:dyDescent="0.3">
      <c r="A24" s="3"/>
      <c r="B24" s="706"/>
      <c r="C24" s="549"/>
      <c r="D24" s="549"/>
      <c r="E24" s="720" t="s">
        <v>1108</v>
      </c>
      <c r="F24" s="720"/>
      <c r="G24" s="48"/>
    </row>
    <row r="25" spans="1:13" ht="40.5" customHeight="1" x14ac:dyDescent="0.25">
      <c r="A25" s="3" t="s">
        <v>498</v>
      </c>
      <c r="B25" s="550" t="s">
        <v>1905</v>
      </c>
      <c r="C25" s="550"/>
      <c r="D25" s="550"/>
      <c r="E25" s="726" t="s">
        <v>1986</v>
      </c>
      <c r="F25" s="554"/>
      <c r="G25" s="48"/>
      <c r="K25" s="1" t="str" cm="1">
        <f t="array" ref="K25">_xlfn.IFS(E25="YES", "Yes", E25="yes", "Yes", E25="Yes", "Yes", E25="NO", "No", E25="no", "No", E25="No", "No")</f>
        <v>No</v>
      </c>
    </row>
    <row r="26" spans="1:13" ht="32" customHeight="1" x14ac:dyDescent="0.25">
      <c r="A26" s="3"/>
      <c r="B26" s="725" t="s">
        <v>497</v>
      </c>
      <c r="C26" s="725"/>
      <c r="D26" s="725"/>
      <c r="E26" s="223"/>
      <c r="F26" s="60"/>
      <c r="G26" s="48"/>
    </row>
    <row r="27" spans="1:13" ht="12.5" x14ac:dyDescent="0.25"/>
    <row r="28" spans="1:13" ht="13" x14ac:dyDescent="0.25">
      <c r="A28" s="3" t="s">
        <v>496</v>
      </c>
      <c r="B28" s="703" t="s">
        <v>495</v>
      </c>
      <c r="C28" s="703"/>
      <c r="D28" s="703"/>
      <c r="E28" s="703"/>
    </row>
    <row r="29" spans="1:13" ht="13.5" thickBot="1" x14ac:dyDescent="0.3">
      <c r="A29" s="3"/>
      <c r="B29" s="2"/>
      <c r="C29" s="2"/>
      <c r="D29" s="2"/>
      <c r="E29" s="2"/>
    </row>
    <row r="30" spans="1:13" ht="21.5" thickBot="1" x14ac:dyDescent="0.35">
      <c r="A30" s="3"/>
      <c r="B30" s="194"/>
      <c r="C30" s="195" t="s">
        <v>494</v>
      </c>
      <c r="D30" s="196" t="s">
        <v>493</v>
      </c>
      <c r="E30" s="196" t="s">
        <v>492</v>
      </c>
      <c r="F30" s="195" t="s">
        <v>491</v>
      </c>
      <c r="G30" s="195" t="s">
        <v>490</v>
      </c>
    </row>
    <row r="31" spans="1:13" ht="42" customHeight="1" thickBot="1" x14ac:dyDescent="0.3">
      <c r="A31" s="3"/>
      <c r="B31" s="197" t="s">
        <v>489</v>
      </c>
      <c r="C31" s="198"/>
      <c r="D31" s="198"/>
      <c r="E31" s="198"/>
      <c r="F31" s="198"/>
      <c r="G31" s="199"/>
      <c r="H31" s="276">
        <v>4</v>
      </c>
      <c r="I31" s="35"/>
      <c r="J31" s="35"/>
      <c r="K31" s="35" t="str" cm="1">
        <f t="array" ref="K31">_xlfn.IFS($H$31=1, "Required of All", $H$31=2, "Recommended of All", $H$31=3, "Recommended of Some", $H$31=4, "Required of Some", $H$31=5, "Not Required")</f>
        <v>Required of Some</v>
      </c>
      <c r="L31" s="35"/>
      <c r="M31" s="35"/>
    </row>
    <row r="32" spans="1:13" ht="30" customHeight="1" thickBot="1" x14ac:dyDescent="0.3">
      <c r="A32" s="3"/>
      <c r="B32" s="197" t="s">
        <v>488</v>
      </c>
      <c r="C32" s="198"/>
      <c r="D32" s="198"/>
      <c r="E32" s="198"/>
      <c r="F32" s="198"/>
      <c r="G32" s="198"/>
      <c r="H32" s="276">
        <v>1</v>
      </c>
      <c r="I32" s="35"/>
      <c r="J32" s="35"/>
      <c r="K32" s="35" t="str" cm="1">
        <f t="array" ref="K32">_xlfn.IFS($H$32=1, "Required of All", $H$32=2, "Recommended of All", $H$32=3, "Recommended of Some", $H$32=4, "Required of Some", $H$32=5, "Not Required")</f>
        <v>Required of All</v>
      </c>
      <c r="L32" s="35"/>
      <c r="M32" s="142"/>
    </row>
    <row r="33" spans="1:13" ht="35" customHeight="1" thickBot="1" x14ac:dyDescent="0.3">
      <c r="A33" s="3"/>
      <c r="B33" s="197" t="s">
        <v>487</v>
      </c>
      <c r="C33" s="198"/>
      <c r="D33" s="198"/>
      <c r="E33" s="198"/>
      <c r="F33" s="198"/>
      <c r="G33" s="198"/>
      <c r="H33" s="276">
        <v>1</v>
      </c>
      <c r="I33" s="35"/>
      <c r="J33" s="35"/>
      <c r="K33" s="35" t="str" cm="1">
        <f t="array" ref="K33">_xlfn.IFS($H$33=1, "Required of All", $H$33=2, "Recommended of All", $H$33=3, "Recommended of Some", $H$33=4, "Required of Some", $H$33=5, "Not Required")</f>
        <v>Required of All</v>
      </c>
      <c r="L33" s="35"/>
      <c r="M33" s="35"/>
    </row>
    <row r="34" spans="1:13" ht="26" customHeight="1" thickBot="1" x14ac:dyDescent="0.3">
      <c r="A34" s="3"/>
      <c r="B34" s="197" t="s">
        <v>486</v>
      </c>
      <c r="C34" s="198"/>
      <c r="D34" s="198"/>
      <c r="E34" s="198"/>
      <c r="F34" s="198"/>
      <c r="G34" s="198"/>
      <c r="H34" s="276">
        <v>2</v>
      </c>
      <c r="I34" s="35"/>
      <c r="J34" s="141"/>
      <c r="K34" s="35" t="str" cm="1">
        <f t="array" ref="K34">_xlfn.IFS($H$34=1, "Required of All", $H$34=2, "Recommended of All", $H$34=3, "Recommended of Some", $H$34=4, "Required of Some", $H$34=5, "Not Required")</f>
        <v>Recommended of All</v>
      </c>
      <c r="L34" s="141"/>
      <c r="M34" s="141"/>
    </row>
    <row r="35" spans="1:13" ht="36" customHeight="1" thickBot="1" x14ac:dyDescent="0.3">
      <c r="A35" s="3"/>
      <c r="B35" s="197" t="s">
        <v>485</v>
      </c>
      <c r="C35" s="198"/>
      <c r="D35" s="198"/>
      <c r="E35" s="198"/>
      <c r="F35" s="198"/>
      <c r="G35" s="198"/>
      <c r="H35" s="276">
        <v>4</v>
      </c>
      <c r="I35" s="35"/>
      <c r="J35" s="141"/>
      <c r="K35" s="35" t="str" cm="1">
        <f t="array" ref="K35">_xlfn.IFS($H$35=1, "Required of All", $H$35=2, "Recommended of All", $H$35=3, "Recommended of Some", $H$35=4, "Required of Some", $H$35=5, "Not Required")</f>
        <v>Required of Some</v>
      </c>
      <c r="L35" s="141"/>
      <c r="M35" s="141"/>
    </row>
    <row r="36" spans="1:13" ht="46" customHeight="1" thickBot="1" x14ac:dyDescent="0.3">
      <c r="A36" s="3"/>
      <c r="B36" s="197" t="s">
        <v>484</v>
      </c>
      <c r="C36" s="198"/>
      <c r="D36" s="198"/>
      <c r="E36" s="198"/>
      <c r="F36" s="198"/>
      <c r="G36" s="198"/>
      <c r="H36" s="276">
        <v>1</v>
      </c>
      <c r="I36" s="35"/>
      <c r="J36" s="141"/>
      <c r="K36" s="35" t="str" cm="1">
        <f t="array" ref="K36">_xlfn.IFS($H$36=1, "Required of All", $H$36=2, "Recommended of All", $H$36=3, "Recommended of Some", $H$36=4, "Required of Some", $H$36=5, "Not Required")</f>
        <v>Required of All</v>
      </c>
      <c r="L36" s="141"/>
      <c r="M36" s="141"/>
    </row>
    <row r="37" spans="1:13" ht="25" customHeight="1" x14ac:dyDescent="0.25"/>
    <row r="38" spans="1:13" ht="42" customHeight="1" x14ac:dyDescent="0.25">
      <c r="A38" s="3" t="s">
        <v>483</v>
      </c>
      <c r="B38" s="551" t="s">
        <v>482</v>
      </c>
      <c r="C38" s="551"/>
      <c r="D38" s="551"/>
      <c r="E38" s="472">
        <v>0</v>
      </c>
      <c r="G38" s="48"/>
    </row>
    <row r="39" spans="1:13" ht="12.5" x14ac:dyDescent="0.25">
      <c r="E39" s="176"/>
    </row>
    <row r="40" spans="1:13" ht="36" customHeight="1" x14ac:dyDescent="0.25">
      <c r="A40" s="3" t="s">
        <v>481</v>
      </c>
      <c r="B40" s="551" t="s">
        <v>480</v>
      </c>
      <c r="C40" s="551"/>
      <c r="D40" s="551"/>
      <c r="E40" s="472">
        <v>0</v>
      </c>
      <c r="G40" s="48"/>
    </row>
    <row r="41" spans="1:13" ht="12.5" x14ac:dyDescent="0.25"/>
    <row r="42" spans="1:13" ht="17" customHeight="1" x14ac:dyDescent="0.25">
      <c r="A42" s="3" t="s">
        <v>479</v>
      </c>
      <c r="B42" s="550" t="s">
        <v>478</v>
      </c>
      <c r="C42" s="550"/>
      <c r="D42" s="550"/>
      <c r="E42" s="550"/>
      <c r="F42" s="550"/>
      <c r="G42" s="57"/>
    </row>
    <row r="43" spans="1:13" ht="17" customHeight="1" x14ac:dyDescent="0.25">
      <c r="A43" s="3"/>
      <c r="B43" s="723" t="s">
        <v>582</v>
      </c>
      <c r="C43" s="723"/>
      <c r="D43" s="723"/>
      <c r="E43" s="723"/>
      <c r="F43" s="723"/>
      <c r="G43" s="723"/>
    </row>
    <row r="44" spans="1:13" ht="12.5" x14ac:dyDescent="0.25"/>
    <row r="45" spans="1:13" ht="48" customHeight="1" x14ac:dyDescent="0.3">
      <c r="A45" s="3" t="s">
        <v>464</v>
      </c>
      <c r="B45" s="561" t="s">
        <v>477</v>
      </c>
      <c r="C45" s="561"/>
      <c r="D45" s="561"/>
      <c r="E45" s="561"/>
      <c r="F45" s="561"/>
      <c r="G45" s="561"/>
      <c r="H45" s="277" t="s">
        <v>476</v>
      </c>
      <c r="I45" s="277" t="s">
        <v>475</v>
      </c>
      <c r="J45" s="277" t="s">
        <v>474</v>
      </c>
      <c r="K45" s="277" t="s">
        <v>473</v>
      </c>
      <c r="L45" s="188"/>
      <c r="M45" s="183"/>
    </row>
    <row r="46" spans="1:13" ht="21" x14ac:dyDescent="0.25">
      <c r="A46" s="3" t="s">
        <v>464</v>
      </c>
      <c r="B46" s="22"/>
      <c r="C46" s="140" t="s">
        <v>472</v>
      </c>
      <c r="D46" s="140" t="s">
        <v>471</v>
      </c>
      <c r="E46" s="140" t="s">
        <v>470</v>
      </c>
      <c r="F46" s="140" t="s">
        <v>469</v>
      </c>
      <c r="G46" s="140" t="s">
        <v>468</v>
      </c>
      <c r="H46" s="257" t="b">
        <v>0</v>
      </c>
      <c r="I46" s="257" t="b">
        <v>0</v>
      </c>
      <c r="J46" s="257" t="b">
        <v>0</v>
      </c>
      <c r="K46" s="257" t="b">
        <v>0</v>
      </c>
      <c r="L46" s="183"/>
      <c r="M46" s="183"/>
    </row>
    <row r="47" spans="1:13" ht="15" customHeight="1" x14ac:dyDescent="0.25">
      <c r="A47" s="3" t="s">
        <v>464</v>
      </c>
      <c r="B47" s="63" t="s">
        <v>467</v>
      </c>
      <c r="C47" s="525">
        <v>45078</v>
      </c>
      <c r="D47" s="525">
        <v>45078</v>
      </c>
      <c r="E47" s="525">
        <v>45081</v>
      </c>
      <c r="F47" s="525">
        <v>45092</v>
      </c>
      <c r="G47" s="139"/>
      <c r="H47" s="221"/>
      <c r="I47" s="221"/>
      <c r="J47" s="221"/>
      <c r="K47" s="221"/>
    </row>
    <row r="48" spans="1:13" ht="15" customHeight="1" x14ac:dyDescent="0.25">
      <c r="A48" s="3" t="s">
        <v>464</v>
      </c>
      <c r="B48" s="63" t="s">
        <v>466</v>
      </c>
      <c r="C48" s="525" t="s">
        <v>582</v>
      </c>
      <c r="D48" s="525" t="s">
        <v>582</v>
      </c>
      <c r="E48" s="525" t="s">
        <v>582</v>
      </c>
      <c r="F48" s="525" t="s">
        <v>582</v>
      </c>
      <c r="G48" s="139"/>
      <c r="H48" s="221"/>
      <c r="I48" s="221"/>
      <c r="J48" s="221"/>
      <c r="K48" s="221"/>
    </row>
    <row r="49" spans="1:11" ht="15" customHeight="1" x14ac:dyDescent="0.25">
      <c r="A49" s="3" t="s">
        <v>464</v>
      </c>
      <c r="B49" s="63" t="s">
        <v>465</v>
      </c>
      <c r="C49" s="525">
        <v>45275</v>
      </c>
      <c r="D49" s="525">
        <v>45275</v>
      </c>
      <c r="E49" s="525">
        <v>45278</v>
      </c>
      <c r="F49" s="525">
        <v>44927</v>
      </c>
      <c r="G49" s="139"/>
      <c r="H49" s="221"/>
      <c r="I49" s="221"/>
      <c r="J49" s="221"/>
      <c r="K49" s="221"/>
    </row>
    <row r="50" spans="1:11" ht="15" customHeight="1" x14ac:dyDescent="0.25">
      <c r="A50" s="3" t="s">
        <v>464</v>
      </c>
      <c r="B50" s="63" t="s">
        <v>463</v>
      </c>
      <c r="C50" s="525" t="s">
        <v>582</v>
      </c>
      <c r="D50" s="525" t="s">
        <v>582</v>
      </c>
      <c r="E50" s="525" t="s">
        <v>582</v>
      </c>
      <c r="F50" s="525" t="s">
        <v>582</v>
      </c>
      <c r="G50" s="139"/>
      <c r="H50" s="221"/>
      <c r="I50" s="221"/>
      <c r="J50" s="221"/>
      <c r="K50" s="221"/>
    </row>
    <row r="51" spans="1:11" ht="13" x14ac:dyDescent="0.25">
      <c r="A51" s="3"/>
      <c r="C51" s="54"/>
      <c r="D51" s="54"/>
      <c r="E51" s="54"/>
      <c r="F51" s="54"/>
      <c r="G51" s="12"/>
    </row>
    <row r="52" spans="1:11" ht="13" x14ac:dyDescent="0.25">
      <c r="A52" s="3"/>
      <c r="C52" s="54"/>
      <c r="D52" s="54"/>
      <c r="E52" s="54"/>
      <c r="F52" s="54"/>
      <c r="G52" s="12"/>
    </row>
    <row r="53" spans="1:11" ht="12.5" x14ac:dyDescent="0.25"/>
    <row r="54" spans="1:11" ht="24" customHeight="1" x14ac:dyDescent="0.3">
      <c r="A54" s="3"/>
      <c r="B54" s="706"/>
      <c r="C54" s="549"/>
      <c r="D54" s="549"/>
      <c r="E54" s="173" t="s">
        <v>1108</v>
      </c>
      <c r="F54" s="60"/>
      <c r="G54" s="48"/>
    </row>
    <row r="55" spans="1:11" ht="34" customHeight="1" x14ac:dyDescent="0.25">
      <c r="A55" s="3" t="s">
        <v>462</v>
      </c>
      <c r="B55" s="550" t="s">
        <v>461</v>
      </c>
      <c r="C55" s="550"/>
      <c r="D55" s="718"/>
      <c r="E55" s="172" t="s">
        <v>1986</v>
      </c>
      <c r="F55" s="60"/>
      <c r="K55" s="1" t="str" cm="1">
        <f t="array" ref="K55">_xlfn.IFS($E$55="yes","Yes",$E$55="YES","Yes",$E$55="Yes","Yes",$E$55="NO","No",$E$55="no","No",$E$55="No","No")</f>
        <v>No</v>
      </c>
    </row>
    <row r="56" spans="1:11" ht="12.5" x14ac:dyDescent="0.25">
      <c r="B56" s="5"/>
      <c r="C56" s="5"/>
      <c r="D56" s="5"/>
      <c r="E56" s="60"/>
      <c r="F56" s="60"/>
    </row>
    <row r="57" spans="1:11" ht="22" customHeight="1" x14ac:dyDescent="0.3">
      <c r="A57" s="98" t="s">
        <v>460</v>
      </c>
      <c r="B57" s="593" t="s">
        <v>459</v>
      </c>
      <c r="C57" s="593"/>
      <c r="D57" s="593"/>
      <c r="E57" s="593"/>
      <c r="F57" s="593"/>
      <c r="G57" s="593"/>
    </row>
    <row r="58" spans="1:11" ht="20" customHeight="1" x14ac:dyDescent="0.25">
      <c r="A58" s="3"/>
      <c r="B58" s="557"/>
      <c r="C58" s="557"/>
      <c r="D58" s="557"/>
      <c r="E58" s="557"/>
      <c r="F58" s="557"/>
      <c r="G58" s="557"/>
    </row>
    <row r="59" spans="1:11" ht="23" customHeight="1" x14ac:dyDescent="0.25"/>
    <row r="60" spans="1:11" ht="25" customHeight="1" x14ac:dyDescent="0.25">
      <c r="B60" s="719" t="s">
        <v>458</v>
      </c>
      <c r="C60" s="703"/>
    </row>
    <row r="61" spans="1:11" ht="27.75" customHeight="1" x14ac:dyDescent="0.25">
      <c r="A61" s="3" t="s">
        <v>457</v>
      </c>
      <c r="B61" s="550" t="s">
        <v>456</v>
      </c>
      <c r="C61" s="550"/>
      <c r="D61" s="278" t="s">
        <v>582</v>
      </c>
      <c r="G61" s="48"/>
    </row>
    <row r="62" spans="1:11" ht="12.5" x14ac:dyDescent="0.25"/>
    <row r="63" spans="1:11" ht="13" x14ac:dyDescent="0.3">
      <c r="A63" s="3"/>
      <c r="B63" s="706"/>
      <c r="C63" s="549"/>
      <c r="D63" s="549"/>
      <c r="E63" s="127" t="s">
        <v>437</v>
      </c>
      <c r="F63" s="127" t="s">
        <v>436</v>
      </c>
    </row>
    <row r="64" spans="1:11" ht="26.25" customHeight="1" x14ac:dyDescent="0.25">
      <c r="A64" s="3" t="s">
        <v>455</v>
      </c>
      <c r="B64" s="550" t="s">
        <v>454</v>
      </c>
      <c r="C64" s="550"/>
      <c r="D64" s="718"/>
      <c r="E64" s="172">
        <v>60</v>
      </c>
      <c r="F64" s="172" t="s">
        <v>1988</v>
      </c>
    </row>
    <row r="65" spans="1:7" ht="12.5" x14ac:dyDescent="0.25"/>
    <row r="66" spans="1:7" ht="13" x14ac:dyDescent="0.3">
      <c r="A66" s="3"/>
      <c r="B66" s="706"/>
      <c r="C66" s="549"/>
      <c r="D66" s="549"/>
      <c r="E66" s="127" t="s">
        <v>437</v>
      </c>
      <c r="F66" s="127" t="s">
        <v>436</v>
      </c>
    </row>
    <row r="67" spans="1:7" ht="27" customHeight="1" x14ac:dyDescent="0.25">
      <c r="A67" s="3" t="s">
        <v>453</v>
      </c>
      <c r="B67" s="550" t="s">
        <v>452</v>
      </c>
      <c r="C67" s="550"/>
      <c r="D67" s="718"/>
      <c r="E67" s="172">
        <v>60</v>
      </c>
      <c r="F67" s="172" t="s">
        <v>1989</v>
      </c>
    </row>
    <row r="68" spans="1:7" ht="12.5" x14ac:dyDescent="0.25"/>
    <row r="69" spans="1:7" ht="12.5" x14ac:dyDescent="0.25">
      <c r="E69" s="127" t="s">
        <v>437</v>
      </c>
      <c r="F69" s="127" t="s">
        <v>436</v>
      </c>
    </row>
    <row r="70" spans="1:7" ht="27.75" customHeight="1" x14ac:dyDescent="0.25">
      <c r="A70" s="3" t="s">
        <v>451</v>
      </c>
      <c r="B70" s="718" t="s">
        <v>450</v>
      </c>
      <c r="C70" s="721"/>
      <c r="D70" s="722"/>
      <c r="E70" s="279" t="s">
        <v>582</v>
      </c>
      <c r="F70" s="219" t="s">
        <v>582</v>
      </c>
      <c r="G70" s="48"/>
    </row>
    <row r="71" spans="1:7" ht="13" x14ac:dyDescent="0.25">
      <c r="A71" s="3"/>
      <c r="B71" s="85"/>
      <c r="C71" s="85"/>
      <c r="D71" s="85"/>
      <c r="E71" s="85"/>
      <c r="F71" s="85"/>
      <c r="G71" s="48"/>
    </row>
    <row r="72" spans="1:7" ht="13" x14ac:dyDescent="0.25">
      <c r="A72" s="3"/>
      <c r="B72" s="85"/>
      <c r="C72" s="85"/>
      <c r="D72" s="85"/>
      <c r="E72" s="127" t="s">
        <v>437</v>
      </c>
      <c r="F72" s="127" t="s">
        <v>436</v>
      </c>
      <c r="G72" s="48"/>
    </row>
    <row r="73" spans="1:7" ht="26.25" customHeight="1" x14ac:dyDescent="0.25">
      <c r="A73" s="3" t="s">
        <v>449</v>
      </c>
      <c r="B73" s="718" t="s">
        <v>448</v>
      </c>
      <c r="C73" s="721"/>
      <c r="D73" s="722"/>
      <c r="E73" s="279">
        <v>64</v>
      </c>
      <c r="F73" s="219" t="s">
        <v>1988</v>
      </c>
      <c r="G73" s="48"/>
    </row>
    <row r="74" spans="1:7" ht="13" x14ac:dyDescent="0.25">
      <c r="A74" s="3"/>
      <c r="B74" s="85"/>
      <c r="C74" s="85"/>
      <c r="D74" s="85"/>
      <c r="E74" s="85"/>
      <c r="F74" s="85"/>
      <c r="G74" s="48"/>
    </row>
    <row r="75" spans="1:7" ht="12.75" customHeight="1" x14ac:dyDescent="0.25">
      <c r="A75" s="3" t="s">
        <v>447</v>
      </c>
      <c r="B75" s="550" t="s">
        <v>446</v>
      </c>
      <c r="C75" s="550"/>
      <c r="D75" s="550"/>
      <c r="E75" s="550"/>
      <c r="F75" s="550"/>
      <c r="G75" s="550"/>
    </row>
    <row r="76" spans="1:7" ht="29" customHeight="1" x14ac:dyDescent="0.25">
      <c r="A76" s="3"/>
      <c r="B76" s="557"/>
      <c r="C76" s="557"/>
      <c r="D76" s="557"/>
      <c r="E76" s="557"/>
      <c r="F76" s="557"/>
      <c r="G76" s="557"/>
    </row>
    <row r="77" spans="1:7" ht="13" x14ac:dyDescent="0.25">
      <c r="A77" s="3"/>
      <c r="B77" s="5"/>
      <c r="C77" s="5"/>
      <c r="D77" s="5"/>
      <c r="E77" s="5"/>
      <c r="F77" s="5"/>
      <c r="G77" s="5"/>
    </row>
    <row r="78" spans="1:7" ht="24" customHeight="1" x14ac:dyDescent="0.35">
      <c r="A78" s="3"/>
      <c r="B78" s="95" t="s">
        <v>445</v>
      </c>
      <c r="C78" s="5"/>
      <c r="D78" s="5"/>
      <c r="E78" s="5"/>
      <c r="F78" s="5"/>
      <c r="G78" s="5"/>
    </row>
    <row r="79" spans="1:7" ht="22" customHeight="1" x14ac:dyDescent="0.25">
      <c r="A79" s="38" t="s">
        <v>444</v>
      </c>
      <c r="B79" s="176" t="s">
        <v>443</v>
      </c>
      <c r="F79" s="5"/>
      <c r="G79" s="5"/>
    </row>
    <row r="80" spans="1:7" ht="13" x14ac:dyDescent="0.25">
      <c r="A80" s="3"/>
      <c r="F80" s="5"/>
      <c r="G80" s="5"/>
    </row>
    <row r="81" spans="1:11" ht="19" customHeight="1" x14ac:dyDescent="0.3">
      <c r="A81" s="3"/>
      <c r="B81" s="706"/>
      <c r="C81" s="549"/>
      <c r="D81" s="549"/>
      <c r="E81" s="720" t="s">
        <v>1108</v>
      </c>
      <c r="F81" s="720"/>
      <c r="G81" s="5"/>
    </row>
    <row r="82" spans="1:11" ht="17" customHeight="1" x14ac:dyDescent="0.25">
      <c r="A82" s="3"/>
      <c r="B82" s="707" t="s">
        <v>442</v>
      </c>
      <c r="C82" s="707"/>
      <c r="D82" s="708"/>
      <c r="E82" s="726" t="s">
        <v>1984</v>
      </c>
      <c r="F82" s="554"/>
      <c r="G82" s="5" t="s">
        <v>582</v>
      </c>
      <c r="H82" s="1" t="s">
        <v>582</v>
      </c>
      <c r="K82" s="1" t="str" cm="1">
        <f t="array" ref="K82">_xlfn.IFS(E82="YES", "American Council on Education (ACE)|", E82="yes", "American Council on Education (ACE)|", E82="Yes", "American Council on Education (ACE)|", E82="NO", "", E82="no", "", E82="No", "")</f>
        <v/>
      </c>
    </row>
    <row r="83" spans="1:11" ht="17" customHeight="1" x14ac:dyDescent="0.25">
      <c r="A83" s="3"/>
      <c r="B83" s="707" t="s">
        <v>441</v>
      </c>
      <c r="C83" s="707"/>
      <c r="D83" s="708"/>
      <c r="E83" s="726" t="s">
        <v>1984</v>
      </c>
      <c r="F83" s="554"/>
      <c r="G83" s="5" t="s">
        <v>582</v>
      </c>
      <c r="H83" s="1" t="s">
        <v>582</v>
      </c>
      <c r="K83" s="1" t="str" cm="1">
        <f t="array" ref="K83">_xlfn.IFS(E83="YES", "College Level Examination Program (CLEP)|", E83="yes", "College Level Examination Program (CLEP)|", E83="Yes", "College Level Examination Program (CLEP)|", E83="NO", "", E83="no",  "", E83="No", "")</f>
        <v/>
      </c>
    </row>
    <row r="84" spans="1:11" ht="17" customHeight="1" x14ac:dyDescent="0.25">
      <c r="A84" s="3"/>
      <c r="B84" s="707" t="s">
        <v>440</v>
      </c>
      <c r="C84" s="707"/>
      <c r="D84" s="708"/>
      <c r="E84" s="726" t="s">
        <v>1984</v>
      </c>
      <c r="F84" s="554"/>
      <c r="G84" s="5" t="s">
        <v>582</v>
      </c>
      <c r="H84" s="1" t="s">
        <v>582</v>
      </c>
      <c r="K84" s="1" t="str" cm="1">
        <f t="array" ref="K84">_xlfn.IFS(E84="YES", "DANTES Subject Standardized Tests (DSST)|", E84="yes", "DANTES Subject Standardized Tests (DSST)|", E84="Yes", "DANTES Subject Standardized Tests (DSST)|", E84="NO", "", E84="no", "", E84="No", "")</f>
        <v/>
      </c>
    </row>
    <row r="85" spans="1:11" ht="13" x14ac:dyDescent="0.25">
      <c r="A85" s="3"/>
      <c r="F85" s="5"/>
      <c r="G85" s="5"/>
    </row>
    <row r="86" spans="1:11" ht="19" customHeight="1" x14ac:dyDescent="0.3">
      <c r="B86" s="706"/>
      <c r="C86" s="549"/>
      <c r="D86" s="549"/>
      <c r="E86" s="127" t="s">
        <v>437</v>
      </c>
      <c r="F86" s="189" t="s">
        <v>436</v>
      </c>
      <c r="G86" s="5"/>
      <c r="K86" s="1" t="str">
        <f>_xlfn.CONCAT($K$82:$K$84)</f>
        <v/>
      </c>
    </row>
    <row r="87" spans="1:11" ht="12.75" customHeight="1" x14ac:dyDescent="0.25">
      <c r="A87" s="3" t="s">
        <v>439</v>
      </c>
      <c r="B87" s="709" t="s">
        <v>438</v>
      </c>
      <c r="C87" s="710"/>
      <c r="D87" s="710"/>
      <c r="E87" s="734" t="s">
        <v>582</v>
      </c>
      <c r="F87" s="730" t="s">
        <v>582</v>
      </c>
      <c r="G87" s="5"/>
    </row>
    <row r="88" spans="1:11" ht="12.75" customHeight="1" x14ac:dyDescent="0.25">
      <c r="A88" s="3"/>
      <c r="B88" s="711"/>
      <c r="C88" s="710"/>
      <c r="D88" s="710"/>
      <c r="E88" s="735"/>
      <c r="F88" s="731"/>
      <c r="G88" s="5"/>
    </row>
    <row r="89" spans="1:11" ht="18" customHeight="1" x14ac:dyDescent="0.25">
      <c r="A89" s="3"/>
      <c r="B89" s="711"/>
      <c r="C89" s="710"/>
      <c r="D89" s="710"/>
      <c r="E89" s="736"/>
      <c r="F89" s="732"/>
      <c r="G89" s="5"/>
    </row>
    <row r="90" spans="1:11" ht="12.75" customHeight="1" x14ac:dyDescent="0.25">
      <c r="A90" s="3"/>
      <c r="B90" s="35"/>
      <c r="C90" s="35"/>
      <c r="D90" s="35"/>
      <c r="F90" s="5"/>
      <c r="G90" s="5"/>
    </row>
    <row r="91" spans="1:11" ht="18" customHeight="1" x14ac:dyDescent="0.3">
      <c r="B91" s="706"/>
      <c r="C91" s="549"/>
      <c r="D91" s="549"/>
      <c r="E91" s="127" t="s">
        <v>437</v>
      </c>
      <c r="F91" s="189" t="s">
        <v>436</v>
      </c>
      <c r="G91" s="5"/>
    </row>
    <row r="92" spans="1:11" ht="12.75" customHeight="1" x14ac:dyDescent="0.25">
      <c r="A92" s="3" t="s">
        <v>435</v>
      </c>
      <c r="B92" s="712" t="s">
        <v>434</v>
      </c>
      <c r="C92" s="713"/>
      <c r="D92" s="713"/>
      <c r="E92" s="729" t="s">
        <v>582</v>
      </c>
      <c r="F92" s="733" t="s">
        <v>582</v>
      </c>
      <c r="G92" s="5"/>
    </row>
    <row r="93" spans="1:11" ht="12.75" customHeight="1" x14ac:dyDescent="0.25">
      <c r="A93" s="3"/>
      <c r="B93" s="714"/>
      <c r="C93" s="715"/>
      <c r="D93" s="715"/>
      <c r="E93" s="729"/>
      <c r="F93" s="733"/>
      <c r="G93" s="5"/>
    </row>
    <row r="94" spans="1:11" ht="12.75" customHeight="1" x14ac:dyDescent="0.25">
      <c r="A94" s="3"/>
      <c r="B94" s="714"/>
      <c r="C94" s="715"/>
      <c r="D94" s="715"/>
      <c r="E94" s="729"/>
      <c r="F94" s="733"/>
      <c r="G94" s="5"/>
    </row>
    <row r="95" spans="1:11" ht="12.75" customHeight="1" x14ac:dyDescent="0.25">
      <c r="A95" s="3"/>
      <c r="B95" s="716"/>
      <c r="C95" s="717"/>
      <c r="D95" s="717"/>
      <c r="E95" s="729"/>
      <c r="F95" s="733"/>
      <c r="G95" s="5"/>
    </row>
    <row r="96" spans="1:11" ht="12.75" customHeight="1" x14ac:dyDescent="0.25">
      <c r="A96" s="3"/>
      <c r="B96" s="77"/>
      <c r="C96" s="77"/>
      <c r="D96" s="77"/>
      <c r="F96" s="5"/>
      <c r="G96" s="5"/>
    </row>
    <row r="97" spans="1:11" ht="20" customHeight="1" x14ac:dyDescent="0.3">
      <c r="A97" s="3"/>
      <c r="B97" s="706"/>
      <c r="C97" s="549"/>
      <c r="D97" s="549"/>
      <c r="E97" s="720" t="s">
        <v>1108</v>
      </c>
      <c r="F97" s="720"/>
      <c r="G97" s="5"/>
    </row>
    <row r="98" spans="1:11" ht="32" customHeight="1" x14ac:dyDescent="0.25">
      <c r="A98" s="38" t="s">
        <v>433</v>
      </c>
      <c r="B98" s="705" t="s">
        <v>432</v>
      </c>
      <c r="C98" s="705"/>
      <c r="D98" s="705"/>
      <c r="E98" s="726" t="s">
        <v>582</v>
      </c>
      <c r="F98" s="554"/>
      <c r="G98" s="5" t="s">
        <v>582</v>
      </c>
      <c r="H98" s="1" t="s">
        <v>582</v>
      </c>
      <c r="K98" s="1" t="e" cm="1">
        <f t="array" ref="K98">_xlfn.IFS(E98="YES", "Yes", E98="yes", "Yes", E98="Yes", "Yes", E98="NO", "No", E98="no", "No", E98="No", "No")</f>
        <v>#N/A</v>
      </c>
    </row>
    <row r="99" spans="1:11" ht="19" customHeight="1" x14ac:dyDescent="0.25">
      <c r="A99" s="3"/>
      <c r="B99" s="57"/>
      <c r="C99" s="57"/>
      <c r="D99" s="57"/>
      <c r="E99" s="60"/>
      <c r="F99" s="60"/>
      <c r="G99" s="5"/>
    </row>
    <row r="100" spans="1:11" ht="12.75" customHeight="1" x14ac:dyDescent="0.25">
      <c r="A100" s="3"/>
      <c r="B100" s="35"/>
      <c r="C100" s="35"/>
      <c r="D100" s="35"/>
      <c r="F100" s="5"/>
      <c r="G100" s="5"/>
    </row>
    <row r="101" spans="1:11" ht="17" customHeight="1" x14ac:dyDescent="0.25">
      <c r="A101" s="3"/>
      <c r="B101" s="703" t="s">
        <v>431</v>
      </c>
      <c r="C101" s="703"/>
      <c r="D101" s="703"/>
      <c r="E101" s="703"/>
      <c r="F101" s="703"/>
      <c r="G101" s="5"/>
    </row>
    <row r="102" spans="1:11" ht="17" customHeight="1" x14ac:dyDescent="0.25">
      <c r="A102" s="3"/>
      <c r="B102" s="704" t="s">
        <v>582</v>
      </c>
      <c r="C102" s="543"/>
      <c r="D102" s="543"/>
      <c r="E102" s="543"/>
      <c r="F102" s="543"/>
      <c r="G102" s="5"/>
    </row>
    <row r="103" spans="1:11" ht="12.75" customHeight="1" x14ac:dyDescent="0.25">
      <c r="A103" s="3"/>
      <c r="B103" s="56"/>
      <c r="C103" s="56"/>
      <c r="D103" s="56"/>
      <c r="E103" s="56"/>
      <c r="F103" s="56"/>
      <c r="G103" s="5"/>
    </row>
    <row r="104" spans="1:11" ht="17" customHeight="1" x14ac:dyDescent="0.25">
      <c r="A104" s="3" t="s">
        <v>430</v>
      </c>
      <c r="B104" s="703" t="s">
        <v>429</v>
      </c>
      <c r="C104" s="703"/>
      <c r="D104" s="703"/>
      <c r="E104" s="703"/>
      <c r="F104" s="703"/>
      <c r="G104" s="5"/>
    </row>
    <row r="105" spans="1:11" ht="17" customHeight="1" x14ac:dyDescent="0.25">
      <c r="A105" s="3"/>
      <c r="B105" s="555" t="s">
        <v>582</v>
      </c>
      <c r="C105" s="555"/>
      <c r="D105" s="555"/>
      <c r="E105" s="555"/>
      <c r="F105" s="555"/>
      <c r="G105" s="5"/>
    </row>
    <row r="106" spans="1:11" ht="17" customHeight="1" x14ac:dyDescent="0.25">
      <c r="A106" s="3"/>
      <c r="B106" s="65"/>
      <c r="C106" s="65"/>
      <c r="D106" s="65"/>
      <c r="E106" s="65"/>
      <c r="F106" s="65"/>
      <c r="G106" s="5"/>
    </row>
    <row r="107" spans="1:11" ht="17" customHeight="1" x14ac:dyDescent="0.25">
      <c r="A107" s="3"/>
      <c r="B107" s="280"/>
      <c r="C107" s="280"/>
      <c r="D107" s="280"/>
      <c r="E107" s="280"/>
      <c r="F107" s="280"/>
      <c r="G107" s="5"/>
    </row>
    <row r="108" spans="1:11" ht="17" customHeight="1" x14ac:dyDescent="0.25">
      <c r="A108" s="3"/>
      <c r="B108" s="280"/>
      <c r="C108" s="280"/>
      <c r="D108" s="280"/>
      <c r="E108" s="280"/>
      <c r="F108" s="280"/>
      <c r="G108" s="5"/>
    </row>
    <row r="109" spans="1:11" ht="17" customHeight="1" x14ac:dyDescent="0.25">
      <c r="A109" s="3"/>
      <c r="B109" s="280"/>
      <c r="C109" s="280"/>
      <c r="D109" s="280"/>
      <c r="E109" s="280"/>
      <c r="F109" s="280"/>
      <c r="G109" s="5"/>
    </row>
    <row r="110" spans="1:11" ht="17" customHeight="1" x14ac:dyDescent="0.25">
      <c r="A110" s="3"/>
      <c r="B110" s="280"/>
      <c r="C110" s="280"/>
      <c r="D110" s="280"/>
      <c r="E110" s="280"/>
      <c r="F110" s="280"/>
      <c r="G110" s="5"/>
    </row>
    <row r="111" spans="1:11" ht="17" customHeight="1" x14ac:dyDescent="0.25">
      <c r="A111" s="3"/>
      <c r="B111" s="280"/>
      <c r="C111" s="280"/>
      <c r="D111" s="280"/>
      <c r="E111" s="280"/>
      <c r="F111" s="280"/>
      <c r="G111" s="5"/>
    </row>
    <row r="112" spans="1:11" ht="12.75" customHeight="1" x14ac:dyDescent="0.25"/>
    <row r="122" ht="12.5" x14ac:dyDescent="0.25"/>
    <row r="123" ht="12.5" x14ac:dyDescent="0.25"/>
    <row r="126" ht="12.5" x14ac:dyDescent="0.25"/>
    <row r="127" ht="12.5" x14ac:dyDescent="0.25"/>
  </sheetData>
  <sheetProtection algorithmName="SHA-512" hashValue="jlKIvYPtc0VqRGuUB4HeI8tx/zh55p474BY1yp8eEt6SbYv26pdKQ0iF4409ggPdDH1XDGKRjU4vXkiKhkKYxg==" saltValue="KwI9dtKak4TaV3PhDNSKog==" spinCount="100000" sheet="1" objects="1" scenarios="1"/>
  <mergeCells count="59">
    <mergeCell ref="E97:F97"/>
    <mergeCell ref="E82:F82"/>
    <mergeCell ref="E83:F83"/>
    <mergeCell ref="E84:F84"/>
    <mergeCell ref="E98:F98"/>
    <mergeCell ref="F87:F89"/>
    <mergeCell ref="E92:E95"/>
    <mergeCell ref="F92:F95"/>
    <mergeCell ref="E87:E89"/>
    <mergeCell ref="A1:G1"/>
    <mergeCell ref="B4:D4"/>
    <mergeCell ref="B5:D5"/>
    <mergeCell ref="B6:D6"/>
    <mergeCell ref="B8:G8"/>
    <mergeCell ref="E4:F4"/>
    <mergeCell ref="E5:F5"/>
    <mergeCell ref="E6:F6"/>
    <mergeCell ref="B40:D40"/>
    <mergeCell ref="B42:F42"/>
    <mergeCell ref="B43:G43"/>
    <mergeCell ref="B45:G45"/>
    <mergeCell ref="B18:D18"/>
    <mergeCell ref="B24:D24"/>
    <mergeCell ref="B25:D25"/>
    <mergeCell ref="B26:D26"/>
    <mergeCell ref="B28:E28"/>
    <mergeCell ref="B38:D38"/>
    <mergeCell ref="E25:F25"/>
    <mergeCell ref="E24:F24"/>
    <mergeCell ref="B57:G57"/>
    <mergeCell ref="B70:D70"/>
    <mergeCell ref="B73:D73"/>
    <mergeCell ref="B75:G75"/>
    <mergeCell ref="B76:G76"/>
    <mergeCell ref="B81:D81"/>
    <mergeCell ref="B58:G58"/>
    <mergeCell ref="B60:C60"/>
    <mergeCell ref="B61:C61"/>
    <mergeCell ref="B63:D63"/>
    <mergeCell ref="B64:D64"/>
    <mergeCell ref="B66:D66"/>
    <mergeCell ref="B67:D67"/>
    <mergeCell ref="E81:F81"/>
    <mergeCell ref="B9:G9"/>
    <mergeCell ref="B105:F105"/>
    <mergeCell ref="B101:F101"/>
    <mergeCell ref="B102:F102"/>
    <mergeCell ref="B104:F104"/>
    <mergeCell ref="B98:D98"/>
    <mergeCell ref="B97:D97"/>
    <mergeCell ref="B82:D82"/>
    <mergeCell ref="B83:D83"/>
    <mergeCell ref="B84:D84"/>
    <mergeCell ref="B86:D86"/>
    <mergeCell ref="B87:D89"/>
    <mergeCell ref="B91:D91"/>
    <mergeCell ref="B92:D95"/>
    <mergeCell ref="B54:D54"/>
    <mergeCell ref="B55:D55"/>
  </mergeCells>
  <dataValidations count="1">
    <dataValidation type="textLength" operator="lessThanOrEqual" allowBlank="1" showInputMessage="1" showErrorMessage="1" sqref="E25:F25 E55 E82:F84 E98:F98" xr:uid="{741470D6-3F57-4642-A7B5-920C9361621E}">
      <formula1>3</formula1>
    </dataValidation>
  </dataValidations>
  <hyperlinks>
    <hyperlink ref="B102" r:id="rId1" display="www.sample.edu/military" xr:uid="{9AFD88AA-B7E0-7240-869F-C253D6D5C329}"/>
  </hyperlinks>
  <pageMargins left="0.75" right="0.75" top="1" bottom="1" header="0.5" footer="0.5"/>
  <pageSetup scale="75" orientation="portrait" r:id="rId2"/>
  <headerFooter alignWithMargins="0">
    <oddHeader>&amp;LCommon Data Set 2021-2022</oddHeader>
    <oddFooter>&amp;LCDS-D&amp;RPage &amp;P</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1272" r:id="rId5" name="Check Box 8">
              <controlPr defaultSize="0" autoFill="0" autoLine="0" autoPict="0" altText=" ">
                <anchor moveWithCells="1">
                  <from>
                    <xdr:col>0</xdr:col>
                    <xdr:colOff>38100</xdr:colOff>
                    <xdr:row>19</xdr:row>
                    <xdr:rowOff>12700</xdr:rowOff>
                  </from>
                  <to>
                    <xdr:col>1</xdr:col>
                    <xdr:colOff>12700</xdr:colOff>
                    <xdr:row>19</xdr:row>
                    <xdr:rowOff>203200</xdr:rowOff>
                  </to>
                </anchor>
              </controlPr>
            </control>
          </mc:Choice>
        </mc:AlternateContent>
        <mc:AlternateContent xmlns:mc="http://schemas.openxmlformats.org/markup-compatibility/2006">
          <mc:Choice Requires="x14">
            <control shapeId="11273" r:id="rId6" name="Check Box 9">
              <controlPr defaultSize="0" autoFill="0" autoLine="0" autoPict="0" altText=" ">
                <anchor moveWithCells="1">
                  <from>
                    <xdr:col>0</xdr:col>
                    <xdr:colOff>38100</xdr:colOff>
                    <xdr:row>20</xdr:row>
                    <xdr:rowOff>12700</xdr:rowOff>
                  </from>
                  <to>
                    <xdr:col>1</xdr:col>
                    <xdr:colOff>12700</xdr:colOff>
                    <xdr:row>20</xdr:row>
                    <xdr:rowOff>203200</xdr:rowOff>
                  </to>
                </anchor>
              </controlPr>
            </control>
          </mc:Choice>
        </mc:AlternateContent>
        <mc:AlternateContent xmlns:mc="http://schemas.openxmlformats.org/markup-compatibility/2006">
          <mc:Choice Requires="x14">
            <control shapeId="11274" r:id="rId7" name="Check Box 10">
              <controlPr defaultSize="0" autoFill="0" autoLine="0" autoPict="0" altText=" ">
                <anchor moveWithCells="1">
                  <from>
                    <xdr:col>0</xdr:col>
                    <xdr:colOff>50800</xdr:colOff>
                    <xdr:row>21</xdr:row>
                    <xdr:rowOff>12700</xdr:rowOff>
                  </from>
                  <to>
                    <xdr:col>1</xdr:col>
                    <xdr:colOff>0</xdr:colOff>
                    <xdr:row>21</xdr:row>
                    <xdr:rowOff>203200</xdr:rowOff>
                  </to>
                </anchor>
              </controlPr>
            </control>
          </mc:Choice>
        </mc:AlternateContent>
        <mc:AlternateContent xmlns:mc="http://schemas.openxmlformats.org/markup-compatibility/2006">
          <mc:Choice Requires="x14">
            <control shapeId="11275" r:id="rId8" name="Check Box 11">
              <controlPr defaultSize="0" autoFill="0" autoLine="0" autoPict="0" altText=" ">
                <anchor moveWithCells="1">
                  <from>
                    <xdr:col>0</xdr:col>
                    <xdr:colOff>50800</xdr:colOff>
                    <xdr:row>22</xdr:row>
                    <xdr:rowOff>12700</xdr:rowOff>
                  </from>
                  <to>
                    <xdr:col>1</xdr:col>
                    <xdr:colOff>0</xdr:colOff>
                    <xdr:row>22</xdr:row>
                    <xdr:rowOff>203200</xdr:rowOff>
                  </to>
                </anchor>
              </controlPr>
            </control>
          </mc:Choice>
        </mc:AlternateContent>
        <mc:AlternateContent xmlns:mc="http://schemas.openxmlformats.org/markup-compatibility/2006">
          <mc:Choice Requires="x14">
            <control shapeId="11279" r:id="rId9" name="Check Box 15">
              <controlPr defaultSize="0" autoFill="0" autoLine="0" autoPict="0">
                <anchor moveWithCells="1">
                  <from>
                    <xdr:col>6</xdr:col>
                    <xdr:colOff>368300</xdr:colOff>
                    <xdr:row>45</xdr:row>
                    <xdr:rowOff>254000</xdr:rowOff>
                  </from>
                  <to>
                    <xdr:col>6</xdr:col>
                    <xdr:colOff>660400</xdr:colOff>
                    <xdr:row>47</xdr:row>
                    <xdr:rowOff>25400</xdr:rowOff>
                  </to>
                </anchor>
              </controlPr>
            </control>
          </mc:Choice>
        </mc:AlternateContent>
        <mc:AlternateContent xmlns:mc="http://schemas.openxmlformats.org/markup-compatibility/2006">
          <mc:Choice Requires="x14">
            <control shapeId="11280" r:id="rId10" name="Check Box 16">
              <controlPr defaultSize="0" autoFill="0" autoLine="0" autoPict="0">
                <anchor moveWithCells="1">
                  <from>
                    <xdr:col>6</xdr:col>
                    <xdr:colOff>368300</xdr:colOff>
                    <xdr:row>46</xdr:row>
                    <xdr:rowOff>177800</xdr:rowOff>
                  </from>
                  <to>
                    <xdr:col>6</xdr:col>
                    <xdr:colOff>647700</xdr:colOff>
                    <xdr:row>47</xdr:row>
                    <xdr:rowOff>177800</xdr:rowOff>
                  </to>
                </anchor>
              </controlPr>
            </control>
          </mc:Choice>
        </mc:AlternateContent>
        <mc:AlternateContent xmlns:mc="http://schemas.openxmlformats.org/markup-compatibility/2006">
          <mc:Choice Requires="x14">
            <control shapeId="11281" r:id="rId11" name="Check Box 17">
              <controlPr defaultSize="0" autoFill="0" autoLine="0" autoPict="0">
                <anchor moveWithCells="1">
                  <from>
                    <xdr:col>6</xdr:col>
                    <xdr:colOff>368300</xdr:colOff>
                    <xdr:row>47</xdr:row>
                    <xdr:rowOff>165100</xdr:rowOff>
                  </from>
                  <to>
                    <xdr:col>6</xdr:col>
                    <xdr:colOff>647700</xdr:colOff>
                    <xdr:row>49</xdr:row>
                    <xdr:rowOff>12700</xdr:rowOff>
                  </to>
                </anchor>
              </controlPr>
            </control>
          </mc:Choice>
        </mc:AlternateContent>
        <mc:AlternateContent xmlns:mc="http://schemas.openxmlformats.org/markup-compatibility/2006">
          <mc:Choice Requires="x14">
            <control shapeId="11282" r:id="rId12" name="Check Box 18">
              <controlPr defaultSize="0" autoFill="0" autoLine="0" autoPict="0">
                <anchor moveWithCells="1">
                  <from>
                    <xdr:col>6</xdr:col>
                    <xdr:colOff>368300</xdr:colOff>
                    <xdr:row>48</xdr:row>
                    <xdr:rowOff>177800</xdr:rowOff>
                  </from>
                  <to>
                    <xdr:col>6</xdr:col>
                    <xdr:colOff>660400</xdr:colOff>
                    <xdr:row>50</xdr:row>
                    <xdr:rowOff>25400</xdr:rowOff>
                  </to>
                </anchor>
              </controlPr>
            </control>
          </mc:Choice>
        </mc:AlternateContent>
        <mc:AlternateContent xmlns:mc="http://schemas.openxmlformats.org/markup-compatibility/2006">
          <mc:Choice Requires="x14">
            <control shapeId="11303" r:id="rId13" name="Group Box 39">
              <controlPr defaultSize="0" autoFill="0" autoPict="0">
                <anchor moveWithCells="1">
                  <from>
                    <xdr:col>2</xdr:col>
                    <xdr:colOff>0</xdr:colOff>
                    <xdr:row>29</xdr:row>
                    <xdr:rowOff>304800</xdr:rowOff>
                  </from>
                  <to>
                    <xdr:col>7</xdr:col>
                    <xdr:colOff>0</xdr:colOff>
                    <xdr:row>31</xdr:row>
                    <xdr:rowOff>0</xdr:rowOff>
                  </to>
                </anchor>
              </controlPr>
            </control>
          </mc:Choice>
        </mc:AlternateContent>
        <mc:AlternateContent xmlns:mc="http://schemas.openxmlformats.org/markup-compatibility/2006">
          <mc:Choice Requires="x14">
            <control shapeId="11313" r:id="rId14" name="Option Button 49">
              <controlPr defaultSize="0" autoFill="0" autoLine="0" autoPict="0">
                <anchor moveWithCells="1">
                  <from>
                    <xdr:col>2</xdr:col>
                    <xdr:colOff>292100</xdr:colOff>
                    <xdr:row>30</xdr:row>
                    <xdr:rowOff>127000</xdr:rowOff>
                  </from>
                  <to>
                    <xdr:col>2</xdr:col>
                    <xdr:colOff>787400</xdr:colOff>
                    <xdr:row>30</xdr:row>
                    <xdr:rowOff>508000</xdr:rowOff>
                  </to>
                </anchor>
              </controlPr>
            </control>
          </mc:Choice>
        </mc:AlternateContent>
        <mc:AlternateContent xmlns:mc="http://schemas.openxmlformats.org/markup-compatibility/2006">
          <mc:Choice Requires="x14">
            <control shapeId="11314" r:id="rId15" name="Option Button 50">
              <controlPr defaultSize="0" autoFill="0" autoLine="0" autoPict="0">
                <anchor moveWithCells="1">
                  <from>
                    <xdr:col>3</xdr:col>
                    <xdr:colOff>292100</xdr:colOff>
                    <xdr:row>30</xdr:row>
                    <xdr:rowOff>139700</xdr:rowOff>
                  </from>
                  <to>
                    <xdr:col>3</xdr:col>
                    <xdr:colOff>787400</xdr:colOff>
                    <xdr:row>30</xdr:row>
                    <xdr:rowOff>520700</xdr:rowOff>
                  </to>
                </anchor>
              </controlPr>
            </control>
          </mc:Choice>
        </mc:AlternateContent>
        <mc:AlternateContent xmlns:mc="http://schemas.openxmlformats.org/markup-compatibility/2006">
          <mc:Choice Requires="x14">
            <control shapeId="11315" r:id="rId16" name="Option Button 51">
              <controlPr defaultSize="0" autoFill="0" autoLine="0" autoPict="0">
                <anchor moveWithCells="1">
                  <from>
                    <xdr:col>4</xdr:col>
                    <xdr:colOff>266700</xdr:colOff>
                    <xdr:row>30</xdr:row>
                    <xdr:rowOff>127000</xdr:rowOff>
                  </from>
                  <to>
                    <xdr:col>4</xdr:col>
                    <xdr:colOff>774700</xdr:colOff>
                    <xdr:row>30</xdr:row>
                    <xdr:rowOff>520700</xdr:rowOff>
                  </to>
                </anchor>
              </controlPr>
            </control>
          </mc:Choice>
        </mc:AlternateContent>
        <mc:AlternateContent xmlns:mc="http://schemas.openxmlformats.org/markup-compatibility/2006">
          <mc:Choice Requires="x14">
            <control shapeId="11316" r:id="rId17" name="Option Button 52">
              <controlPr defaultSize="0" autoFill="0" autoLine="0" autoPict="0">
                <anchor moveWithCells="1">
                  <from>
                    <xdr:col>5</xdr:col>
                    <xdr:colOff>292100</xdr:colOff>
                    <xdr:row>30</xdr:row>
                    <xdr:rowOff>127000</xdr:rowOff>
                  </from>
                  <to>
                    <xdr:col>5</xdr:col>
                    <xdr:colOff>800100</xdr:colOff>
                    <xdr:row>30</xdr:row>
                    <xdr:rowOff>520700</xdr:rowOff>
                  </to>
                </anchor>
              </controlPr>
            </control>
          </mc:Choice>
        </mc:AlternateContent>
        <mc:AlternateContent xmlns:mc="http://schemas.openxmlformats.org/markup-compatibility/2006">
          <mc:Choice Requires="x14">
            <control shapeId="11317" r:id="rId18" name="Option Button 53">
              <controlPr defaultSize="0" autoFill="0" autoLine="0" autoPict="0">
                <anchor moveWithCells="1">
                  <from>
                    <xdr:col>6</xdr:col>
                    <xdr:colOff>317500</xdr:colOff>
                    <xdr:row>30</xdr:row>
                    <xdr:rowOff>127000</xdr:rowOff>
                  </from>
                  <to>
                    <xdr:col>6</xdr:col>
                    <xdr:colOff>800100</xdr:colOff>
                    <xdr:row>30</xdr:row>
                    <xdr:rowOff>495300</xdr:rowOff>
                  </to>
                </anchor>
              </controlPr>
            </control>
          </mc:Choice>
        </mc:AlternateContent>
        <mc:AlternateContent xmlns:mc="http://schemas.openxmlformats.org/markup-compatibility/2006">
          <mc:Choice Requires="x14">
            <control shapeId="11318" r:id="rId19" name="Group Box 54">
              <controlPr defaultSize="0" autoFill="0" autoPict="0">
                <anchor moveWithCells="1">
                  <from>
                    <xdr:col>1</xdr:col>
                    <xdr:colOff>1587500</xdr:colOff>
                    <xdr:row>30</xdr:row>
                    <xdr:rowOff>533400</xdr:rowOff>
                  </from>
                  <to>
                    <xdr:col>6</xdr:col>
                    <xdr:colOff>876300</xdr:colOff>
                    <xdr:row>31</xdr:row>
                    <xdr:rowOff>368300</xdr:rowOff>
                  </to>
                </anchor>
              </controlPr>
            </control>
          </mc:Choice>
        </mc:AlternateContent>
        <mc:AlternateContent xmlns:mc="http://schemas.openxmlformats.org/markup-compatibility/2006">
          <mc:Choice Requires="x14">
            <control shapeId="11319" r:id="rId20" name="Option Button 55">
              <controlPr defaultSize="0" autoFill="0" autoLine="0" autoPict="0">
                <anchor moveWithCells="1">
                  <from>
                    <xdr:col>2</xdr:col>
                    <xdr:colOff>292100</xdr:colOff>
                    <xdr:row>31</xdr:row>
                    <xdr:rowOff>63500</xdr:rowOff>
                  </from>
                  <to>
                    <xdr:col>2</xdr:col>
                    <xdr:colOff>749300</xdr:colOff>
                    <xdr:row>31</xdr:row>
                    <xdr:rowOff>330200</xdr:rowOff>
                  </to>
                </anchor>
              </controlPr>
            </control>
          </mc:Choice>
        </mc:AlternateContent>
        <mc:AlternateContent xmlns:mc="http://schemas.openxmlformats.org/markup-compatibility/2006">
          <mc:Choice Requires="x14">
            <control shapeId="11320" r:id="rId21" name="Option Button 56">
              <controlPr defaultSize="0" autoFill="0" autoLine="0" autoPict="0">
                <anchor moveWithCells="1">
                  <from>
                    <xdr:col>3</xdr:col>
                    <xdr:colOff>292100</xdr:colOff>
                    <xdr:row>31</xdr:row>
                    <xdr:rowOff>63500</xdr:rowOff>
                  </from>
                  <to>
                    <xdr:col>3</xdr:col>
                    <xdr:colOff>812800</xdr:colOff>
                    <xdr:row>31</xdr:row>
                    <xdr:rowOff>342900</xdr:rowOff>
                  </to>
                </anchor>
              </controlPr>
            </control>
          </mc:Choice>
        </mc:AlternateContent>
        <mc:AlternateContent xmlns:mc="http://schemas.openxmlformats.org/markup-compatibility/2006">
          <mc:Choice Requires="x14">
            <control shapeId="11321" r:id="rId22" name="Option Button 57">
              <controlPr defaultSize="0" autoFill="0" autoLine="0" autoPict="0">
                <anchor moveWithCells="1">
                  <from>
                    <xdr:col>4</xdr:col>
                    <xdr:colOff>266700</xdr:colOff>
                    <xdr:row>31</xdr:row>
                    <xdr:rowOff>63500</xdr:rowOff>
                  </from>
                  <to>
                    <xdr:col>4</xdr:col>
                    <xdr:colOff>800100</xdr:colOff>
                    <xdr:row>31</xdr:row>
                    <xdr:rowOff>342900</xdr:rowOff>
                  </to>
                </anchor>
              </controlPr>
            </control>
          </mc:Choice>
        </mc:AlternateContent>
        <mc:AlternateContent xmlns:mc="http://schemas.openxmlformats.org/markup-compatibility/2006">
          <mc:Choice Requires="x14">
            <control shapeId="11322" r:id="rId23" name="Option Button 58">
              <controlPr defaultSize="0" autoFill="0" autoLine="0" autoPict="0">
                <anchor moveWithCells="1">
                  <from>
                    <xdr:col>5</xdr:col>
                    <xdr:colOff>292100</xdr:colOff>
                    <xdr:row>31</xdr:row>
                    <xdr:rowOff>63500</xdr:rowOff>
                  </from>
                  <to>
                    <xdr:col>5</xdr:col>
                    <xdr:colOff>774700</xdr:colOff>
                    <xdr:row>31</xdr:row>
                    <xdr:rowOff>342900</xdr:rowOff>
                  </to>
                </anchor>
              </controlPr>
            </control>
          </mc:Choice>
        </mc:AlternateContent>
        <mc:AlternateContent xmlns:mc="http://schemas.openxmlformats.org/markup-compatibility/2006">
          <mc:Choice Requires="x14">
            <control shapeId="11324" r:id="rId24" name="Option Button 60">
              <controlPr defaultSize="0" autoFill="0" autoLine="0" autoPict="0">
                <anchor moveWithCells="1">
                  <from>
                    <xdr:col>6</xdr:col>
                    <xdr:colOff>304800</xdr:colOff>
                    <xdr:row>31</xdr:row>
                    <xdr:rowOff>50800</xdr:rowOff>
                  </from>
                  <to>
                    <xdr:col>6</xdr:col>
                    <xdr:colOff>800100</xdr:colOff>
                    <xdr:row>31</xdr:row>
                    <xdr:rowOff>317500</xdr:rowOff>
                  </to>
                </anchor>
              </controlPr>
            </control>
          </mc:Choice>
        </mc:AlternateContent>
        <mc:AlternateContent xmlns:mc="http://schemas.openxmlformats.org/markup-compatibility/2006">
          <mc:Choice Requires="x14">
            <control shapeId="11325" r:id="rId25" name="Group Box 61">
              <controlPr defaultSize="0" autoFill="0" autoPict="0">
                <anchor moveWithCells="1">
                  <from>
                    <xdr:col>2</xdr:col>
                    <xdr:colOff>0</xdr:colOff>
                    <xdr:row>31</xdr:row>
                    <xdr:rowOff>368300</xdr:rowOff>
                  </from>
                  <to>
                    <xdr:col>6</xdr:col>
                    <xdr:colOff>876300</xdr:colOff>
                    <xdr:row>33</xdr:row>
                    <xdr:rowOff>0</xdr:rowOff>
                  </to>
                </anchor>
              </controlPr>
            </control>
          </mc:Choice>
        </mc:AlternateContent>
        <mc:AlternateContent xmlns:mc="http://schemas.openxmlformats.org/markup-compatibility/2006">
          <mc:Choice Requires="x14">
            <control shapeId="11326" r:id="rId26" name="Option Button 62">
              <controlPr defaultSize="0" autoFill="0" autoLine="0" autoPict="0">
                <anchor moveWithCells="1">
                  <from>
                    <xdr:col>2</xdr:col>
                    <xdr:colOff>292100</xdr:colOff>
                    <xdr:row>32</xdr:row>
                    <xdr:rowOff>38100</xdr:rowOff>
                  </from>
                  <to>
                    <xdr:col>2</xdr:col>
                    <xdr:colOff>774700</xdr:colOff>
                    <xdr:row>32</xdr:row>
                    <xdr:rowOff>406400</xdr:rowOff>
                  </to>
                </anchor>
              </controlPr>
            </control>
          </mc:Choice>
        </mc:AlternateContent>
        <mc:AlternateContent xmlns:mc="http://schemas.openxmlformats.org/markup-compatibility/2006">
          <mc:Choice Requires="x14">
            <control shapeId="11327" r:id="rId27" name="Option Button 63">
              <controlPr defaultSize="0" autoFill="0" autoLine="0" autoPict="0">
                <anchor moveWithCells="1">
                  <from>
                    <xdr:col>3</xdr:col>
                    <xdr:colOff>304800</xdr:colOff>
                    <xdr:row>32</xdr:row>
                    <xdr:rowOff>63500</xdr:rowOff>
                  </from>
                  <to>
                    <xdr:col>3</xdr:col>
                    <xdr:colOff>787400</xdr:colOff>
                    <xdr:row>32</xdr:row>
                    <xdr:rowOff>406400</xdr:rowOff>
                  </to>
                </anchor>
              </controlPr>
            </control>
          </mc:Choice>
        </mc:AlternateContent>
        <mc:AlternateContent xmlns:mc="http://schemas.openxmlformats.org/markup-compatibility/2006">
          <mc:Choice Requires="x14">
            <control shapeId="11328" r:id="rId28" name="Option Button 64">
              <controlPr defaultSize="0" autoFill="0" autoLine="0" autoPict="0">
                <anchor moveWithCells="1">
                  <from>
                    <xdr:col>4</xdr:col>
                    <xdr:colOff>266700</xdr:colOff>
                    <xdr:row>32</xdr:row>
                    <xdr:rowOff>38100</xdr:rowOff>
                  </from>
                  <to>
                    <xdr:col>4</xdr:col>
                    <xdr:colOff>774700</xdr:colOff>
                    <xdr:row>32</xdr:row>
                    <xdr:rowOff>381000</xdr:rowOff>
                  </to>
                </anchor>
              </controlPr>
            </control>
          </mc:Choice>
        </mc:AlternateContent>
        <mc:AlternateContent xmlns:mc="http://schemas.openxmlformats.org/markup-compatibility/2006">
          <mc:Choice Requires="x14">
            <control shapeId="11329" r:id="rId29" name="Option Button 65">
              <controlPr defaultSize="0" autoFill="0" autoLine="0" autoPict="0">
                <anchor moveWithCells="1">
                  <from>
                    <xdr:col>5</xdr:col>
                    <xdr:colOff>292100</xdr:colOff>
                    <xdr:row>32</xdr:row>
                    <xdr:rowOff>38100</xdr:rowOff>
                  </from>
                  <to>
                    <xdr:col>5</xdr:col>
                    <xdr:colOff>800100</xdr:colOff>
                    <xdr:row>32</xdr:row>
                    <xdr:rowOff>381000</xdr:rowOff>
                  </to>
                </anchor>
              </controlPr>
            </control>
          </mc:Choice>
        </mc:AlternateContent>
        <mc:AlternateContent xmlns:mc="http://schemas.openxmlformats.org/markup-compatibility/2006">
          <mc:Choice Requires="x14">
            <control shapeId="11332" r:id="rId30" name="Option Button 68">
              <controlPr defaultSize="0" autoFill="0" autoLine="0" autoPict="0">
                <anchor moveWithCells="1">
                  <from>
                    <xdr:col>6</xdr:col>
                    <xdr:colOff>304800</xdr:colOff>
                    <xdr:row>32</xdr:row>
                    <xdr:rowOff>50800</xdr:rowOff>
                  </from>
                  <to>
                    <xdr:col>6</xdr:col>
                    <xdr:colOff>800100</xdr:colOff>
                    <xdr:row>32</xdr:row>
                    <xdr:rowOff>381000</xdr:rowOff>
                  </to>
                </anchor>
              </controlPr>
            </control>
          </mc:Choice>
        </mc:AlternateContent>
        <mc:AlternateContent xmlns:mc="http://schemas.openxmlformats.org/markup-compatibility/2006">
          <mc:Choice Requires="x14">
            <control shapeId="11333" r:id="rId31" name="Group Box 69">
              <controlPr locked="0" defaultSize="0" autoFill="0" autoPict="0">
                <anchor moveWithCells="1">
                  <from>
                    <xdr:col>2</xdr:col>
                    <xdr:colOff>0</xdr:colOff>
                    <xdr:row>33</xdr:row>
                    <xdr:rowOff>0</xdr:rowOff>
                  </from>
                  <to>
                    <xdr:col>6</xdr:col>
                    <xdr:colOff>876300</xdr:colOff>
                    <xdr:row>33</xdr:row>
                    <xdr:rowOff>317500</xdr:rowOff>
                  </to>
                </anchor>
              </controlPr>
            </control>
          </mc:Choice>
        </mc:AlternateContent>
        <mc:AlternateContent xmlns:mc="http://schemas.openxmlformats.org/markup-compatibility/2006">
          <mc:Choice Requires="x14">
            <control shapeId="11334" r:id="rId32" name="Option Button 70">
              <controlPr defaultSize="0" autoFill="0" autoLine="0" autoPict="0">
                <anchor moveWithCells="1">
                  <from>
                    <xdr:col>2</xdr:col>
                    <xdr:colOff>292100</xdr:colOff>
                    <xdr:row>33</xdr:row>
                    <xdr:rowOff>38100</xdr:rowOff>
                  </from>
                  <to>
                    <xdr:col>2</xdr:col>
                    <xdr:colOff>850900</xdr:colOff>
                    <xdr:row>33</xdr:row>
                    <xdr:rowOff>266700</xdr:rowOff>
                  </to>
                </anchor>
              </controlPr>
            </control>
          </mc:Choice>
        </mc:AlternateContent>
        <mc:AlternateContent xmlns:mc="http://schemas.openxmlformats.org/markup-compatibility/2006">
          <mc:Choice Requires="x14">
            <control shapeId="11335" r:id="rId33" name="Option Button 71">
              <controlPr defaultSize="0" autoFill="0" autoLine="0" autoPict="0">
                <anchor moveWithCells="1">
                  <from>
                    <xdr:col>3</xdr:col>
                    <xdr:colOff>292100</xdr:colOff>
                    <xdr:row>33</xdr:row>
                    <xdr:rowOff>50800</xdr:rowOff>
                  </from>
                  <to>
                    <xdr:col>3</xdr:col>
                    <xdr:colOff>800100</xdr:colOff>
                    <xdr:row>33</xdr:row>
                    <xdr:rowOff>292100</xdr:rowOff>
                  </to>
                </anchor>
              </controlPr>
            </control>
          </mc:Choice>
        </mc:AlternateContent>
        <mc:AlternateContent xmlns:mc="http://schemas.openxmlformats.org/markup-compatibility/2006">
          <mc:Choice Requires="x14">
            <control shapeId="11336" r:id="rId34" name="Option Button 72">
              <controlPr defaultSize="0" autoFill="0" autoLine="0" autoPict="0">
                <anchor moveWithCells="1">
                  <from>
                    <xdr:col>4</xdr:col>
                    <xdr:colOff>254000</xdr:colOff>
                    <xdr:row>33</xdr:row>
                    <xdr:rowOff>38100</xdr:rowOff>
                  </from>
                  <to>
                    <xdr:col>4</xdr:col>
                    <xdr:colOff>812800</xdr:colOff>
                    <xdr:row>33</xdr:row>
                    <xdr:rowOff>279400</xdr:rowOff>
                  </to>
                </anchor>
              </controlPr>
            </control>
          </mc:Choice>
        </mc:AlternateContent>
        <mc:AlternateContent xmlns:mc="http://schemas.openxmlformats.org/markup-compatibility/2006">
          <mc:Choice Requires="x14">
            <control shapeId="11337" r:id="rId35" name="Option Button 73">
              <controlPr defaultSize="0" autoFill="0" autoLine="0" autoPict="0">
                <anchor moveWithCells="1">
                  <from>
                    <xdr:col>5</xdr:col>
                    <xdr:colOff>292100</xdr:colOff>
                    <xdr:row>33</xdr:row>
                    <xdr:rowOff>50800</xdr:rowOff>
                  </from>
                  <to>
                    <xdr:col>5</xdr:col>
                    <xdr:colOff>825500</xdr:colOff>
                    <xdr:row>33</xdr:row>
                    <xdr:rowOff>279400</xdr:rowOff>
                  </to>
                </anchor>
              </controlPr>
            </control>
          </mc:Choice>
        </mc:AlternateContent>
        <mc:AlternateContent xmlns:mc="http://schemas.openxmlformats.org/markup-compatibility/2006">
          <mc:Choice Requires="x14">
            <control shapeId="11338" r:id="rId36" name="Option Button 74">
              <controlPr defaultSize="0" autoFill="0" autoLine="0" autoPict="0">
                <anchor moveWithCells="1">
                  <from>
                    <xdr:col>6</xdr:col>
                    <xdr:colOff>304800</xdr:colOff>
                    <xdr:row>33</xdr:row>
                    <xdr:rowOff>38100</xdr:rowOff>
                  </from>
                  <to>
                    <xdr:col>6</xdr:col>
                    <xdr:colOff>812800</xdr:colOff>
                    <xdr:row>33</xdr:row>
                    <xdr:rowOff>292100</xdr:rowOff>
                  </to>
                </anchor>
              </controlPr>
            </control>
          </mc:Choice>
        </mc:AlternateContent>
        <mc:AlternateContent xmlns:mc="http://schemas.openxmlformats.org/markup-compatibility/2006">
          <mc:Choice Requires="x14">
            <control shapeId="11339" r:id="rId37" name="Group Box 75">
              <controlPr defaultSize="0" autoFill="0" autoPict="0">
                <anchor moveWithCells="1">
                  <from>
                    <xdr:col>2</xdr:col>
                    <xdr:colOff>0</xdr:colOff>
                    <xdr:row>34</xdr:row>
                    <xdr:rowOff>0</xdr:rowOff>
                  </from>
                  <to>
                    <xdr:col>6</xdr:col>
                    <xdr:colOff>876300</xdr:colOff>
                    <xdr:row>35</xdr:row>
                    <xdr:rowOff>12700</xdr:rowOff>
                  </to>
                </anchor>
              </controlPr>
            </control>
          </mc:Choice>
        </mc:AlternateContent>
        <mc:AlternateContent xmlns:mc="http://schemas.openxmlformats.org/markup-compatibility/2006">
          <mc:Choice Requires="x14">
            <control shapeId="11340" r:id="rId38" name="Option Button 76">
              <controlPr defaultSize="0" autoFill="0" autoLine="0" autoPict="0">
                <anchor moveWithCells="1">
                  <from>
                    <xdr:col>2</xdr:col>
                    <xdr:colOff>292100</xdr:colOff>
                    <xdr:row>34</xdr:row>
                    <xdr:rowOff>63500</xdr:rowOff>
                  </from>
                  <to>
                    <xdr:col>2</xdr:col>
                    <xdr:colOff>723900</xdr:colOff>
                    <xdr:row>34</xdr:row>
                    <xdr:rowOff>444500</xdr:rowOff>
                  </to>
                </anchor>
              </controlPr>
            </control>
          </mc:Choice>
        </mc:AlternateContent>
        <mc:AlternateContent xmlns:mc="http://schemas.openxmlformats.org/markup-compatibility/2006">
          <mc:Choice Requires="x14">
            <control shapeId="11341" r:id="rId39" name="Option Button 77">
              <controlPr defaultSize="0" autoFill="0" autoLine="0" autoPict="0">
                <anchor moveWithCells="1">
                  <from>
                    <xdr:col>3</xdr:col>
                    <xdr:colOff>292100</xdr:colOff>
                    <xdr:row>34</xdr:row>
                    <xdr:rowOff>76200</xdr:rowOff>
                  </from>
                  <to>
                    <xdr:col>3</xdr:col>
                    <xdr:colOff>749300</xdr:colOff>
                    <xdr:row>34</xdr:row>
                    <xdr:rowOff>406400</xdr:rowOff>
                  </to>
                </anchor>
              </controlPr>
            </control>
          </mc:Choice>
        </mc:AlternateContent>
        <mc:AlternateContent xmlns:mc="http://schemas.openxmlformats.org/markup-compatibility/2006">
          <mc:Choice Requires="x14">
            <control shapeId="11342" r:id="rId40" name="Option Button 78">
              <controlPr defaultSize="0" autoFill="0" autoLine="0" autoPict="0">
                <anchor moveWithCells="1">
                  <from>
                    <xdr:col>4</xdr:col>
                    <xdr:colOff>266700</xdr:colOff>
                    <xdr:row>34</xdr:row>
                    <xdr:rowOff>76200</xdr:rowOff>
                  </from>
                  <to>
                    <xdr:col>4</xdr:col>
                    <xdr:colOff>749300</xdr:colOff>
                    <xdr:row>34</xdr:row>
                    <xdr:rowOff>419100</xdr:rowOff>
                  </to>
                </anchor>
              </controlPr>
            </control>
          </mc:Choice>
        </mc:AlternateContent>
        <mc:AlternateContent xmlns:mc="http://schemas.openxmlformats.org/markup-compatibility/2006">
          <mc:Choice Requires="x14">
            <control shapeId="11343" r:id="rId41" name="Option Button 79">
              <controlPr defaultSize="0" autoFill="0" autoLine="0" autoPict="0">
                <anchor moveWithCells="1">
                  <from>
                    <xdr:col>5</xdr:col>
                    <xdr:colOff>292100</xdr:colOff>
                    <xdr:row>34</xdr:row>
                    <xdr:rowOff>50800</xdr:rowOff>
                  </from>
                  <to>
                    <xdr:col>5</xdr:col>
                    <xdr:colOff>749300</xdr:colOff>
                    <xdr:row>34</xdr:row>
                    <xdr:rowOff>431800</xdr:rowOff>
                  </to>
                </anchor>
              </controlPr>
            </control>
          </mc:Choice>
        </mc:AlternateContent>
        <mc:AlternateContent xmlns:mc="http://schemas.openxmlformats.org/markup-compatibility/2006">
          <mc:Choice Requires="x14">
            <control shapeId="11344" r:id="rId42" name="Option Button 80">
              <controlPr defaultSize="0" autoFill="0" autoLine="0" autoPict="0">
                <anchor moveWithCells="1">
                  <from>
                    <xdr:col>6</xdr:col>
                    <xdr:colOff>304800</xdr:colOff>
                    <xdr:row>34</xdr:row>
                    <xdr:rowOff>50800</xdr:rowOff>
                  </from>
                  <to>
                    <xdr:col>6</xdr:col>
                    <xdr:colOff>736600</xdr:colOff>
                    <xdr:row>34</xdr:row>
                    <xdr:rowOff>431800</xdr:rowOff>
                  </to>
                </anchor>
              </controlPr>
            </control>
          </mc:Choice>
        </mc:AlternateContent>
        <mc:AlternateContent xmlns:mc="http://schemas.openxmlformats.org/markup-compatibility/2006">
          <mc:Choice Requires="x14">
            <control shapeId="11345" r:id="rId43" name="Group Box 81">
              <controlPr defaultSize="0" autoFill="0" autoPict="0">
                <anchor moveWithCells="1">
                  <from>
                    <xdr:col>2</xdr:col>
                    <xdr:colOff>0</xdr:colOff>
                    <xdr:row>35</xdr:row>
                    <xdr:rowOff>0</xdr:rowOff>
                  </from>
                  <to>
                    <xdr:col>6</xdr:col>
                    <xdr:colOff>889000</xdr:colOff>
                    <xdr:row>35</xdr:row>
                    <xdr:rowOff>571500</xdr:rowOff>
                  </to>
                </anchor>
              </controlPr>
            </control>
          </mc:Choice>
        </mc:AlternateContent>
        <mc:AlternateContent xmlns:mc="http://schemas.openxmlformats.org/markup-compatibility/2006">
          <mc:Choice Requires="x14">
            <control shapeId="11346" r:id="rId44" name="Option Button 82">
              <controlPr defaultSize="0" autoFill="0" autoLine="0" autoPict="0">
                <anchor moveWithCells="1">
                  <from>
                    <xdr:col>2</xdr:col>
                    <xdr:colOff>292100</xdr:colOff>
                    <xdr:row>35</xdr:row>
                    <xdr:rowOff>127000</xdr:rowOff>
                  </from>
                  <to>
                    <xdr:col>2</xdr:col>
                    <xdr:colOff>787400</xdr:colOff>
                    <xdr:row>35</xdr:row>
                    <xdr:rowOff>495300</xdr:rowOff>
                  </to>
                </anchor>
              </controlPr>
            </control>
          </mc:Choice>
        </mc:AlternateContent>
        <mc:AlternateContent xmlns:mc="http://schemas.openxmlformats.org/markup-compatibility/2006">
          <mc:Choice Requires="x14">
            <control shapeId="11347" r:id="rId45" name="Option Button 83">
              <controlPr defaultSize="0" autoFill="0" autoLine="0" autoPict="0">
                <anchor moveWithCells="1">
                  <from>
                    <xdr:col>3</xdr:col>
                    <xdr:colOff>304800</xdr:colOff>
                    <xdr:row>35</xdr:row>
                    <xdr:rowOff>127000</xdr:rowOff>
                  </from>
                  <to>
                    <xdr:col>3</xdr:col>
                    <xdr:colOff>838200</xdr:colOff>
                    <xdr:row>35</xdr:row>
                    <xdr:rowOff>508000</xdr:rowOff>
                  </to>
                </anchor>
              </controlPr>
            </control>
          </mc:Choice>
        </mc:AlternateContent>
        <mc:AlternateContent xmlns:mc="http://schemas.openxmlformats.org/markup-compatibility/2006">
          <mc:Choice Requires="x14">
            <control shapeId="11348" r:id="rId46" name="Option Button 84">
              <controlPr defaultSize="0" autoFill="0" autoLine="0" autoPict="0">
                <anchor moveWithCells="1">
                  <from>
                    <xdr:col>4</xdr:col>
                    <xdr:colOff>266700</xdr:colOff>
                    <xdr:row>35</xdr:row>
                    <xdr:rowOff>139700</xdr:rowOff>
                  </from>
                  <to>
                    <xdr:col>4</xdr:col>
                    <xdr:colOff>762000</xdr:colOff>
                    <xdr:row>35</xdr:row>
                    <xdr:rowOff>508000</xdr:rowOff>
                  </to>
                </anchor>
              </controlPr>
            </control>
          </mc:Choice>
        </mc:AlternateContent>
        <mc:AlternateContent xmlns:mc="http://schemas.openxmlformats.org/markup-compatibility/2006">
          <mc:Choice Requires="x14">
            <control shapeId="11349" r:id="rId47" name="Option Button 85">
              <controlPr defaultSize="0" autoFill="0" autoLine="0" autoPict="0">
                <anchor moveWithCells="1">
                  <from>
                    <xdr:col>5</xdr:col>
                    <xdr:colOff>304800</xdr:colOff>
                    <xdr:row>35</xdr:row>
                    <xdr:rowOff>139700</xdr:rowOff>
                  </from>
                  <to>
                    <xdr:col>5</xdr:col>
                    <xdr:colOff>774700</xdr:colOff>
                    <xdr:row>35</xdr:row>
                    <xdr:rowOff>508000</xdr:rowOff>
                  </to>
                </anchor>
              </controlPr>
            </control>
          </mc:Choice>
        </mc:AlternateContent>
        <mc:AlternateContent xmlns:mc="http://schemas.openxmlformats.org/markup-compatibility/2006">
          <mc:Choice Requires="x14">
            <control shapeId="11350" r:id="rId48" name="Option Button 86">
              <controlPr defaultSize="0" autoFill="0" autoLine="0" autoPict="0">
                <anchor moveWithCells="1">
                  <from>
                    <xdr:col>6</xdr:col>
                    <xdr:colOff>317500</xdr:colOff>
                    <xdr:row>35</xdr:row>
                    <xdr:rowOff>139700</xdr:rowOff>
                  </from>
                  <to>
                    <xdr:col>6</xdr:col>
                    <xdr:colOff>800100</xdr:colOff>
                    <xdr:row>35</xdr:row>
                    <xdr:rowOff>508000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05EE6-6812-B74E-95E8-58162CFED895}">
  <dimension ref="A1:U50"/>
  <sheetViews>
    <sheetView showGridLines="0" showRowColHeaders="0" showRuler="0" topLeftCell="A50" zoomScale="120" zoomScaleNormal="120" zoomScalePageLayoutView="200" workbookViewId="0">
      <selection activeCell="D41" sqref="D41"/>
    </sheetView>
  </sheetViews>
  <sheetFormatPr defaultColWidth="10.83203125" defaultRowHeight="0" customHeight="1" zeroHeight="1" x14ac:dyDescent="0.25"/>
  <cols>
    <col min="1" max="1" width="4.1640625" style="2" customWidth="1"/>
    <col min="2" max="2" width="60.6640625" style="1" customWidth="1"/>
    <col min="3" max="4" width="11.6640625" style="1" customWidth="1"/>
    <col min="5" max="5" width="37.33203125" style="1" hidden="1" customWidth="1"/>
    <col min="6" max="21" width="10.83203125" style="1" hidden="1" customWidth="1"/>
    <col min="22" max="16384" width="10.83203125" style="1"/>
  </cols>
  <sheetData>
    <row r="1" spans="1:5" ht="18" x14ac:dyDescent="0.25">
      <c r="A1" s="548" t="s">
        <v>623</v>
      </c>
      <c r="B1" s="548"/>
      <c r="C1" s="548"/>
      <c r="D1" s="165"/>
    </row>
    <row r="2" spans="1:5" ht="18" x14ac:dyDescent="0.25">
      <c r="A2" s="137"/>
      <c r="B2" s="137"/>
      <c r="C2" s="137"/>
      <c r="D2" s="137"/>
    </row>
    <row r="3" spans="1:5" ht="28.5" customHeight="1" x14ac:dyDescent="0.25">
      <c r="A3" s="3" t="s">
        <v>622</v>
      </c>
      <c r="B3" s="559" t="s">
        <v>621</v>
      </c>
      <c r="C3" s="551"/>
      <c r="D3" s="40"/>
    </row>
    <row r="4" spans="1:5" ht="13.5" customHeight="1" x14ac:dyDescent="0.25">
      <c r="A4" s="3"/>
      <c r="B4" s="39"/>
      <c r="C4" s="40"/>
      <c r="D4" s="40"/>
    </row>
    <row r="5" spans="1:5" ht="12.5" x14ac:dyDescent="0.25">
      <c r="A5" s="60"/>
      <c r="B5" s="51" t="s">
        <v>620</v>
      </c>
      <c r="C5" s="272" t="b">
        <v>0</v>
      </c>
      <c r="D5" s="171"/>
      <c r="E5" s="1" t="str" cm="1">
        <f t="array" ref="E5">_xlfn.IFS($C$5= TRUE, "Accelerated program|",$C$5=FALSE, "")</f>
        <v/>
      </c>
    </row>
    <row r="6" spans="1:5" ht="27" customHeight="1" x14ac:dyDescent="0.25">
      <c r="A6" s="60"/>
      <c r="B6" s="151" t="s">
        <v>1484</v>
      </c>
      <c r="C6" s="272" t="b">
        <v>0</v>
      </c>
      <c r="D6" s="171"/>
      <c r="E6" s="1" t="str" cm="1">
        <f t="array" ref="E6">_xlfn.IFS($C$6= TRUE, "Comprehensive transition and postsecondary program for students with intellectual disabilities|",$C$6=FALSE, "")</f>
        <v/>
      </c>
    </row>
    <row r="7" spans="1:5" ht="12.5" x14ac:dyDescent="0.25">
      <c r="A7" s="60"/>
      <c r="B7" s="51" t="s">
        <v>619</v>
      </c>
      <c r="C7" s="272" t="b">
        <v>1</v>
      </c>
      <c r="D7" s="171"/>
      <c r="E7" s="1" t="str" cm="1">
        <f t="array" ref="E7">_xlfn.IFS($C$7= TRUE, "Cross-registration|",$C$7=FALSE, "")</f>
        <v>Cross-registration|</v>
      </c>
    </row>
    <row r="8" spans="1:5" ht="12.5" x14ac:dyDescent="0.25">
      <c r="A8" s="60"/>
      <c r="B8" s="51" t="s">
        <v>618</v>
      </c>
      <c r="C8" s="272" t="b">
        <v>1</v>
      </c>
      <c r="D8" s="171"/>
      <c r="E8" s="1" t="str" cm="1">
        <f t="array" ref="E8">_xlfn.IFS($C$8= TRUE, "Distance learning|",$C$8=FALSE, "")</f>
        <v>Distance learning|</v>
      </c>
    </row>
    <row r="9" spans="1:5" ht="12.5" x14ac:dyDescent="0.25">
      <c r="A9" s="60"/>
      <c r="B9" s="51" t="s">
        <v>617</v>
      </c>
      <c r="C9" s="272" t="b">
        <v>1</v>
      </c>
      <c r="D9" s="171"/>
      <c r="E9" s="1" t="str" cm="1">
        <f t="array" ref="E9">_xlfn.IFS($C$9= TRUE, "Double major|",$C$9=FALSE, "")</f>
        <v>Double major|</v>
      </c>
    </row>
    <row r="10" spans="1:5" ht="12.5" x14ac:dyDescent="0.25">
      <c r="A10" s="60"/>
      <c r="B10" s="51" t="s">
        <v>616</v>
      </c>
      <c r="C10" s="272" t="b">
        <v>0</v>
      </c>
      <c r="D10" s="171"/>
      <c r="E10" s="1" t="str" cm="1">
        <f t="array" ref="E10">_xlfn.IFS($C$10= TRUE, "Dual enrollment|",$C$10=FALSE, "")</f>
        <v/>
      </c>
    </row>
    <row r="11" spans="1:5" ht="12.5" x14ac:dyDescent="0.25">
      <c r="A11" s="60"/>
      <c r="B11" s="51" t="s">
        <v>615</v>
      </c>
      <c r="C11" s="272" t="b">
        <v>1</v>
      </c>
      <c r="D11" s="171"/>
      <c r="E11" s="1" t="str" cm="1">
        <f t="array" ref="E11">_xlfn.IFS($C$11= TRUE, "English as a Second Language|",$C$11=FALSE, "")</f>
        <v>English as a Second Language|</v>
      </c>
    </row>
    <row r="12" spans="1:5" ht="12.5" x14ac:dyDescent="0.25">
      <c r="A12" s="60"/>
      <c r="B12" s="51" t="s">
        <v>614</v>
      </c>
      <c r="C12" s="272" t="b">
        <v>0</v>
      </c>
      <c r="D12" s="171"/>
      <c r="E12" s="1" t="str" cm="1">
        <f t="array" ref="E12">_xlfn.IFS($C$12= TRUE, "Exchange student program (domestic)|",$C$12=FALSE, "")</f>
        <v/>
      </c>
    </row>
    <row r="13" spans="1:5" ht="12.5" x14ac:dyDescent="0.25">
      <c r="A13" s="60"/>
      <c r="B13" s="51" t="s">
        <v>613</v>
      </c>
      <c r="C13" s="272" t="b">
        <v>0</v>
      </c>
      <c r="D13" s="171"/>
      <c r="E13" s="1" t="str" cm="1">
        <f t="array" ref="E13">_xlfn.IFS($C$13= TRUE, "External degree program|",$C$13=FALSE, "")</f>
        <v/>
      </c>
    </row>
    <row r="14" spans="1:5" ht="12.5" x14ac:dyDescent="0.25">
      <c r="A14" s="60"/>
      <c r="B14" s="51" t="s">
        <v>612</v>
      </c>
      <c r="C14" s="272" t="b">
        <v>1</v>
      </c>
      <c r="D14" s="171"/>
      <c r="E14" s="1" t="str" cm="1">
        <f t="array" ref="E14">_xlfn.IFS($C$14= TRUE, "Honors program|",$C$14=FALSE, "")</f>
        <v>Honors program|</v>
      </c>
    </row>
    <row r="15" spans="1:5" ht="12.5" x14ac:dyDescent="0.25">
      <c r="A15" s="60"/>
      <c r="B15" s="51" t="s">
        <v>611</v>
      </c>
      <c r="C15" s="272" t="b">
        <v>1</v>
      </c>
      <c r="D15" s="171"/>
      <c r="E15" s="1" t="str" cm="1">
        <f t="array" ref="E15">_xlfn.IFS($C$15= TRUE, "Independent study|",$C$15=FALSE, "")</f>
        <v>Independent study|</v>
      </c>
    </row>
    <row r="16" spans="1:5" ht="12.5" x14ac:dyDescent="0.25">
      <c r="A16" s="60"/>
      <c r="B16" s="51" t="s">
        <v>610</v>
      </c>
      <c r="C16" s="272" t="b">
        <v>1</v>
      </c>
      <c r="D16" s="171"/>
      <c r="E16" s="1" t="str" cm="1">
        <f t="array" ref="E16">_xlfn.IFS($C$16= TRUE, "Internships|",$C$16=FALSE, "")</f>
        <v>Internships|</v>
      </c>
    </row>
    <row r="17" spans="1:5" ht="12.5" x14ac:dyDescent="0.25">
      <c r="A17" s="60"/>
      <c r="B17" s="51" t="s">
        <v>609</v>
      </c>
      <c r="C17" s="272" t="b">
        <v>0</v>
      </c>
      <c r="D17" s="171"/>
      <c r="E17" s="1" t="str" cm="1">
        <f t="array" ref="E17">_xlfn.IFS($C$17= TRUE, "Liberal arts/career combination|",$C$17=FALSE, "")</f>
        <v/>
      </c>
    </row>
    <row r="18" spans="1:5" ht="12.5" x14ac:dyDescent="0.25">
      <c r="A18" s="60"/>
      <c r="B18" s="51" t="s">
        <v>608</v>
      </c>
      <c r="C18" s="272" t="b">
        <v>1</v>
      </c>
      <c r="D18" s="171"/>
      <c r="E18" s="1" t="str" cm="1">
        <f t="array" ref="E18">_xlfn.IFS($C$18= TRUE, "Student-designed major|",$C$18=FALSE, "")</f>
        <v>Student-designed major|</v>
      </c>
    </row>
    <row r="19" spans="1:5" ht="12.5" x14ac:dyDescent="0.25">
      <c r="A19" s="60"/>
      <c r="B19" s="51" t="s">
        <v>607</v>
      </c>
      <c r="C19" s="272" t="b">
        <v>1</v>
      </c>
      <c r="D19" s="171"/>
      <c r="E19" s="1" t="str" cm="1">
        <f t="array" ref="E19">_xlfn.IFS($C$19= TRUE, "Study abroad|",$C$19=FALSE, "")</f>
        <v>Study abroad|</v>
      </c>
    </row>
    <row r="20" spans="1:5" ht="12.5" x14ac:dyDescent="0.25">
      <c r="A20" s="60"/>
      <c r="B20" s="51" t="s">
        <v>606</v>
      </c>
      <c r="C20" s="272" t="b">
        <v>0</v>
      </c>
      <c r="D20" s="171"/>
      <c r="E20" s="1" t="str" cm="1">
        <f t="array" ref="E20">_xlfn.IFS($C$20= TRUE, "Teacher certification program|",$C$20=FALSE, "")</f>
        <v/>
      </c>
    </row>
    <row r="21" spans="1:5" ht="12.5" x14ac:dyDescent="0.25">
      <c r="A21" s="60"/>
      <c r="B21" s="51" t="s">
        <v>605</v>
      </c>
      <c r="C21" s="272" t="b">
        <v>0</v>
      </c>
      <c r="D21" s="171"/>
      <c r="E21" s="1" t="str" cm="1">
        <f t="array" ref="E21">_xlfn.IFS($C$21= TRUE, "Weekend college|",$C$21=FALSE, "")</f>
        <v/>
      </c>
    </row>
    <row r="22" spans="1:5" ht="12.5" x14ac:dyDescent="0.25">
      <c r="A22" s="60"/>
      <c r="B22" s="51" t="s">
        <v>1485</v>
      </c>
      <c r="C22" s="272" t="b">
        <v>1</v>
      </c>
      <c r="D22" s="171"/>
      <c r="E22" s="1" t="str" cm="1">
        <f t="array" ref="E22">_xlfn.IFS($C$22= TRUE, "Undergraduate Research|",$C$22=FALSE, "")</f>
        <v>Undergraduate Research|</v>
      </c>
    </row>
    <row r="23" spans="1:5" ht="12.5" x14ac:dyDescent="0.25">
      <c r="A23" s="60"/>
      <c r="B23" s="51" t="s">
        <v>130</v>
      </c>
      <c r="C23" s="272" t="b">
        <v>0</v>
      </c>
      <c r="D23" s="171"/>
      <c r="E23" s="1" t="str" cm="1">
        <f t="array" ref="E23">_xlfn.IFS($C$23= TRUE, "Other|",$C$23=FALSE, "")</f>
        <v/>
      </c>
    </row>
    <row r="24" spans="1:5" ht="23" customHeight="1" x14ac:dyDescent="0.25">
      <c r="B24" s="738"/>
      <c r="C24" s="738"/>
    </row>
    <row r="25" spans="1:5" ht="12.5" x14ac:dyDescent="0.25"/>
    <row r="26" spans="1:5" ht="12.5" x14ac:dyDescent="0.25"/>
    <row r="27" spans="1:5" ht="30" customHeight="1" x14ac:dyDescent="0.25">
      <c r="A27" s="24" t="s">
        <v>604</v>
      </c>
      <c r="B27" s="85" t="s">
        <v>603</v>
      </c>
      <c r="C27" s="85"/>
      <c r="D27" s="85"/>
    </row>
    <row r="28" spans="1:5" ht="12.5" x14ac:dyDescent="0.25">
      <c r="A28" s="141"/>
      <c r="B28" s="51" t="s">
        <v>748</v>
      </c>
      <c r="C28" s="272" t="b">
        <v>1</v>
      </c>
      <c r="D28" s="171"/>
      <c r="E28" s="1" t="str" cm="1">
        <f t="array" ref="E28">_xlfn.IFS($C$28= TRUE, "Arts/fine arts|",$C$28=FALSE, "")</f>
        <v>Arts/fine arts|</v>
      </c>
    </row>
    <row r="29" spans="1:5" ht="26" customHeight="1" x14ac:dyDescent="0.25">
      <c r="A29" s="141"/>
      <c r="B29" s="151" t="s">
        <v>1924</v>
      </c>
      <c r="C29" s="272" t="b">
        <v>0</v>
      </c>
      <c r="D29" s="171"/>
      <c r="E29" s="1" t="str" cm="1">
        <f t="array" ref="E29">_xlfn.IFS($C$29= TRUE, "Comprehensive transition and postsecondary program for students with intellectual disabilities|",$C$29=FALSE, "")</f>
        <v/>
      </c>
    </row>
    <row r="30" spans="1:5" ht="12.5" x14ac:dyDescent="0.25">
      <c r="A30" s="141"/>
      <c r="B30" s="51" t="s">
        <v>602</v>
      </c>
      <c r="C30" s="272" t="b">
        <v>0</v>
      </c>
      <c r="D30" s="171"/>
      <c r="E30" s="1" t="str" cm="1">
        <f t="array" ref="E30">_xlfn.IFS($C$30= TRUE, "Computer literacy|",$C$30=FALSE, "")</f>
        <v/>
      </c>
    </row>
    <row r="31" spans="1:5" ht="12.5" x14ac:dyDescent="0.25">
      <c r="A31" s="141"/>
      <c r="B31" s="51" t="s">
        <v>601</v>
      </c>
      <c r="C31" s="272" t="b">
        <v>0</v>
      </c>
      <c r="D31" s="171"/>
      <c r="E31" s="1" t="str" cm="1">
        <f t="array" ref="E31">_xlfn.IFS($C$31= TRUE, "English (including composition)|",$C$31=FALSE, "")</f>
        <v/>
      </c>
    </row>
    <row r="32" spans="1:5" ht="12.5" x14ac:dyDescent="0.25">
      <c r="A32" s="141"/>
      <c r="B32" s="51" t="s">
        <v>600</v>
      </c>
      <c r="C32" s="272" t="b">
        <v>1</v>
      </c>
      <c r="D32" s="171"/>
      <c r="E32" s="1" t="str" cm="1">
        <f t="array" ref="E32">_xlfn.IFS($C$32= TRUE, "Foreign languages|",$C$32=FALSE, "")</f>
        <v>Foreign languages|</v>
      </c>
    </row>
    <row r="33" spans="1:5" ht="12.5" x14ac:dyDescent="0.25">
      <c r="A33" s="141"/>
      <c r="B33" s="51" t="s">
        <v>246</v>
      </c>
      <c r="C33" s="272" t="b">
        <v>0</v>
      </c>
      <c r="D33" s="171"/>
      <c r="E33" s="1" t="str" cm="1">
        <f t="array" ref="E33">_xlfn.IFS($C$33= TRUE, "History|",$C$33=FALSE, "")</f>
        <v/>
      </c>
    </row>
    <row r="34" spans="1:5" ht="12.5" x14ac:dyDescent="0.25">
      <c r="A34" s="141"/>
      <c r="B34" s="51" t="s">
        <v>599</v>
      </c>
      <c r="C34" s="272" t="b">
        <v>1</v>
      </c>
      <c r="D34" s="171"/>
      <c r="E34" s="1" t="str" cm="1">
        <f t="array" ref="E34">_xlfn.IFS($C$34= TRUE, "Humanities|",$C$34=FALSE, "")</f>
        <v>Humanities|</v>
      </c>
    </row>
    <row r="35" spans="1:5" ht="12.5" x14ac:dyDescent="0.25">
      <c r="A35" s="141"/>
      <c r="B35" s="51" t="s">
        <v>1487</v>
      </c>
      <c r="C35" s="272" t="b">
        <v>1</v>
      </c>
      <c r="D35" s="171"/>
      <c r="E35" s="1" t="str" cm="1">
        <f t="array" ref="E35">_xlfn.IFS($C$35= TRUE, "Intensive writing|",$C$35=FALSE, "")</f>
        <v>Intensive writing|</v>
      </c>
    </row>
    <row r="36" spans="1:5" ht="12.5" x14ac:dyDescent="0.25">
      <c r="A36" s="141"/>
      <c r="B36" s="51" t="s">
        <v>598</v>
      </c>
      <c r="C36" s="272" t="b">
        <v>0</v>
      </c>
      <c r="D36" s="171"/>
      <c r="E36" s="1" t="str" cm="1">
        <f t="array" ref="E36">_xlfn.IFS($C$36= TRUE, "Mathematics|",$C$36=FALSE, "")</f>
        <v/>
      </c>
    </row>
    <row r="37" spans="1:5" ht="12.5" x14ac:dyDescent="0.25">
      <c r="A37" s="141"/>
      <c r="B37" s="51" t="s">
        <v>597</v>
      </c>
      <c r="C37" s="272" t="b">
        <v>0</v>
      </c>
      <c r="D37" s="171"/>
      <c r="E37" s="1" t="str" cm="1">
        <f t="array" ref="E37">_xlfn.IFS($C$37= TRUE, "Philosophy|",$C$37=FALSE, "")</f>
        <v/>
      </c>
    </row>
    <row r="38" spans="1:5" ht="12.5" x14ac:dyDescent="0.25">
      <c r="A38" s="141"/>
      <c r="B38" s="51" t="s">
        <v>1486</v>
      </c>
      <c r="C38" s="272" t="b">
        <v>0</v>
      </c>
      <c r="D38" s="171"/>
      <c r="E38" s="1" t="str" cm="1">
        <f t="array" ref="E38">_xlfn.IFS($C$38= TRUE, "Physical Education|",$C$38=FALSE, "")</f>
        <v/>
      </c>
    </row>
    <row r="39" spans="1:5" ht="12.5" x14ac:dyDescent="0.25">
      <c r="A39" s="141"/>
      <c r="B39" s="51" t="s">
        <v>596</v>
      </c>
      <c r="C39" s="272" t="b">
        <v>0</v>
      </c>
      <c r="D39" s="171"/>
      <c r="E39" s="1" t="str" cm="1">
        <f t="array" ref="E39">_xlfn.IFS($C$39= TRUE, "Sciences (biological or physical)|",$C$39=FALSE, "")</f>
        <v/>
      </c>
    </row>
    <row r="40" spans="1:5" ht="12.5" x14ac:dyDescent="0.25">
      <c r="A40" s="141"/>
      <c r="B40" s="51" t="s">
        <v>595</v>
      </c>
      <c r="C40" s="272" t="b">
        <v>1</v>
      </c>
      <c r="D40" s="171"/>
      <c r="E40" s="1" t="str" cm="1">
        <f t="array" ref="E40">_xlfn.IFS($C$40= TRUE, "Social science|",$C$40=FALSE, "")</f>
        <v>Social science|</v>
      </c>
    </row>
    <row r="41" spans="1:5" ht="12.5" x14ac:dyDescent="0.25">
      <c r="A41" s="141"/>
      <c r="B41" s="51" t="s">
        <v>594</v>
      </c>
      <c r="C41" s="272" t="b">
        <v>1</v>
      </c>
      <c r="D41" s="171"/>
      <c r="E41" s="1" t="str" cm="1">
        <f t="array" ref="E41">_xlfn.IFS($C$41= TRUE, "Other|",$C$41=FALSE, "")</f>
        <v>Other|</v>
      </c>
    </row>
    <row r="42" spans="1:5" ht="26" customHeight="1" x14ac:dyDescent="0.25">
      <c r="B42" s="737" t="s">
        <v>1990</v>
      </c>
      <c r="C42" s="737"/>
      <c r="D42" s="184"/>
    </row>
    <row r="43" spans="1:5" ht="12.5" x14ac:dyDescent="0.25"/>
    <row r="44" spans="1:5" ht="12.5" x14ac:dyDescent="0.25"/>
    <row r="45" spans="1:5" ht="12.5" x14ac:dyDescent="0.25">
      <c r="B45" s="221"/>
      <c r="C45" s="221"/>
      <c r="D45" s="221"/>
    </row>
    <row r="46" spans="1:5" ht="12.5" x14ac:dyDescent="0.25">
      <c r="B46" s="221"/>
      <c r="C46" s="221"/>
      <c r="D46" s="221"/>
    </row>
    <row r="47" spans="1:5" ht="12.5" x14ac:dyDescent="0.25">
      <c r="B47" s="221"/>
      <c r="C47" s="221"/>
      <c r="D47" s="221"/>
    </row>
    <row r="48" spans="1:5" ht="12.5" x14ac:dyDescent="0.25">
      <c r="B48" s="221"/>
      <c r="C48" s="221"/>
      <c r="D48" s="221"/>
    </row>
    <row r="49" spans="2:4" ht="15.5" x14ac:dyDescent="0.25">
      <c r="B49" s="273"/>
      <c r="C49" s="221"/>
      <c r="D49" s="221"/>
    </row>
    <row r="50" spans="2:4" ht="12.5" x14ac:dyDescent="0.25"/>
  </sheetData>
  <sheetProtection algorithmName="SHA-512" hashValue="9FeWv8tr542UwA7O5/1451RZ9ywsUt6vOt5xH2HEykIpvkd8tfTpOuaELiDKUqLYW7EFHuwowc9dys7LrsxwvQ==" saltValue="biMM+Ftb6TadaZzgCg6V6A==" spinCount="100000" sheet="1" objects="1" scenarios="1"/>
  <mergeCells count="4">
    <mergeCell ref="A1:C1"/>
    <mergeCell ref="B3:C3"/>
    <mergeCell ref="B42:C42"/>
    <mergeCell ref="B24:C24"/>
  </mergeCells>
  <pageMargins left="0.75" right="0.75" top="1" bottom="1" header="0.5" footer="0.5"/>
  <pageSetup scale="75" orientation="portrait" r:id="rId1"/>
  <headerFooter alignWithMargins="0">
    <oddHeader>&amp;LCommon Data Set 2022-2023</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2" r:id="rId4" name="Check Box 2">
              <controlPr defaultSize="0" autoFill="0" autoLine="0" autoPict="0" altText="Accelerated program_x000a_">
                <anchor moveWithCells="1">
                  <from>
                    <xdr:col>0</xdr:col>
                    <xdr:colOff>76200</xdr:colOff>
                    <xdr:row>3</xdr:row>
                    <xdr:rowOff>139700</xdr:rowOff>
                  </from>
                  <to>
                    <xdr:col>1</xdr:col>
                    <xdr:colOff>0</xdr:colOff>
                    <xdr:row>5</xdr:row>
                    <xdr:rowOff>38100</xdr:rowOff>
                  </to>
                </anchor>
              </controlPr>
            </control>
          </mc:Choice>
        </mc:AlternateContent>
        <mc:AlternateContent xmlns:mc="http://schemas.openxmlformats.org/markup-compatibility/2006">
          <mc:Choice Requires="x14">
            <control shapeId="15363" r:id="rId5" name="Check Box 3">
              <controlPr defaultSize="0" autoFill="0" autoLine="0" autoPict="0" altText="">
                <anchor moveWithCells="1">
                  <from>
                    <xdr:col>0</xdr:col>
                    <xdr:colOff>76200</xdr:colOff>
                    <xdr:row>5</xdr:row>
                    <xdr:rowOff>38100</xdr:rowOff>
                  </from>
                  <to>
                    <xdr:col>1</xdr:col>
                    <xdr:colOff>25400</xdr:colOff>
                    <xdr:row>5</xdr:row>
                    <xdr:rowOff>266700</xdr:rowOff>
                  </to>
                </anchor>
              </controlPr>
            </control>
          </mc:Choice>
        </mc:AlternateContent>
        <mc:AlternateContent xmlns:mc="http://schemas.openxmlformats.org/markup-compatibility/2006">
          <mc:Choice Requires="x14">
            <control shapeId="15364" r:id="rId6" name="Check Box 4">
              <controlPr defaultSize="0" autoFill="0" autoLine="0" autoPict="0" altText="Cross-registration">
                <anchor moveWithCells="1">
                  <from>
                    <xdr:col>0</xdr:col>
                    <xdr:colOff>76200</xdr:colOff>
                    <xdr:row>5</xdr:row>
                    <xdr:rowOff>292100</xdr:rowOff>
                  </from>
                  <to>
                    <xdr:col>1</xdr:col>
                    <xdr:colOff>0</xdr:colOff>
                    <xdr:row>7</xdr:row>
                    <xdr:rowOff>25400</xdr:rowOff>
                  </to>
                </anchor>
              </controlPr>
            </control>
          </mc:Choice>
        </mc:AlternateContent>
        <mc:AlternateContent xmlns:mc="http://schemas.openxmlformats.org/markup-compatibility/2006">
          <mc:Choice Requires="x14">
            <control shapeId="15365" r:id="rId7" name="Check Box 5">
              <controlPr defaultSize="0" autoFill="0" autoLine="0" autoPict="0" altText="Distance learning">
                <anchor moveWithCells="1">
                  <from>
                    <xdr:col>0</xdr:col>
                    <xdr:colOff>76200</xdr:colOff>
                    <xdr:row>6</xdr:row>
                    <xdr:rowOff>139700</xdr:rowOff>
                  </from>
                  <to>
                    <xdr:col>1</xdr:col>
                    <xdr:colOff>12700</xdr:colOff>
                    <xdr:row>8</xdr:row>
                    <xdr:rowOff>38100</xdr:rowOff>
                  </to>
                </anchor>
              </controlPr>
            </control>
          </mc:Choice>
        </mc:AlternateContent>
        <mc:AlternateContent xmlns:mc="http://schemas.openxmlformats.org/markup-compatibility/2006">
          <mc:Choice Requires="x14">
            <control shapeId="15366" r:id="rId8" name="Check Box 6">
              <controlPr defaultSize="0" autoFill="0" autoLine="0" autoPict="0" altText="Double major">
                <anchor moveWithCells="1">
                  <from>
                    <xdr:col>0</xdr:col>
                    <xdr:colOff>76200</xdr:colOff>
                    <xdr:row>7</xdr:row>
                    <xdr:rowOff>127000</xdr:rowOff>
                  </from>
                  <to>
                    <xdr:col>1</xdr:col>
                    <xdr:colOff>0</xdr:colOff>
                    <xdr:row>9</xdr:row>
                    <xdr:rowOff>38100</xdr:rowOff>
                  </to>
                </anchor>
              </controlPr>
            </control>
          </mc:Choice>
        </mc:AlternateContent>
        <mc:AlternateContent xmlns:mc="http://schemas.openxmlformats.org/markup-compatibility/2006">
          <mc:Choice Requires="x14">
            <control shapeId="15367" r:id="rId9" name="Check Box 7">
              <controlPr defaultSize="0" autoFill="0" autoLine="0" autoPict="0" altText="Dual enrollment">
                <anchor moveWithCells="1">
                  <from>
                    <xdr:col>0</xdr:col>
                    <xdr:colOff>76200</xdr:colOff>
                    <xdr:row>8</xdr:row>
                    <xdr:rowOff>139700</xdr:rowOff>
                  </from>
                  <to>
                    <xdr:col>1</xdr:col>
                    <xdr:colOff>38100</xdr:colOff>
                    <xdr:row>10</xdr:row>
                    <xdr:rowOff>25400</xdr:rowOff>
                  </to>
                </anchor>
              </controlPr>
            </control>
          </mc:Choice>
        </mc:AlternateContent>
        <mc:AlternateContent xmlns:mc="http://schemas.openxmlformats.org/markup-compatibility/2006">
          <mc:Choice Requires="x14">
            <control shapeId="15368" r:id="rId10" name="Check Box 8">
              <controlPr defaultSize="0" autoFill="0" autoLine="0" autoPict="0" altText="English as a Second Language (ESL)">
                <anchor moveWithCells="1">
                  <from>
                    <xdr:col>0</xdr:col>
                    <xdr:colOff>76200</xdr:colOff>
                    <xdr:row>9</xdr:row>
                    <xdr:rowOff>127000</xdr:rowOff>
                  </from>
                  <to>
                    <xdr:col>1</xdr:col>
                    <xdr:colOff>88900</xdr:colOff>
                    <xdr:row>11</xdr:row>
                    <xdr:rowOff>50800</xdr:rowOff>
                  </to>
                </anchor>
              </controlPr>
            </control>
          </mc:Choice>
        </mc:AlternateContent>
        <mc:AlternateContent xmlns:mc="http://schemas.openxmlformats.org/markup-compatibility/2006">
          <mc:Choice Requires="x14">
            <control shapeId="15369" r:id="rId11" name="Check Box 9">
              <controlPr defaultSize="0" autoFill="0" autoLine="0" autoPict="0" altText="Exchange student program (domestic)">
                <anchor moveWithCells="1">
                  <from>
                    <xdr:col>0</xdr:col>
                    <xdr:colOff>76200</xdr:colOff>
                    <xdr:row>10</xdr:row>
                    <xdr:rowOff>139700</xdr:rowOff>
                  </from>
                  <to>
                    <xdr:col>1</xdr:col>
                    <xdr:colOff>25400</xdr:colOff>
                    <xdr:row>12</xdr:row>
                    <xdr:rowOff>38100</xdr:rowOff>
                  </to>
                </anchor>
              </controlPr>
            </control>
          </mc:Choice>
        </mc:AlternateContent>
        <mc:AlternateContent xmlns:mc="http://schemas.openxmlformats.org/markup-compatibility/2006">
          <mc:Choice Requires="x14">
            <control shapeId="15370" r:id="rId12" name="Check Box 10">
              <controlPr locked="0" defaultSize="0" autoFill="0" autoLine="0" autoPict="0">
                <anchor moveWithCells="1" sizeWithCells="1">
                  <from>
                    <xdr:col>0</xdr:col>
                    <xdr:colOff>76200</xdr:colOff>
                    <xdr:row>11</xdr:row>
                    <xdr:rowOff>127000</xdr:rowOff>
                  </from>
                  <to>
                    <xdr:col>1</xdr:col>
                    <xdr:colOff>114300</xdr:colOff>
                    <xdr:row>13</xdr:row>
                    <xdr:rowOff>50800</xdr:rowOff>
                  </to>
                </anchor>
              </controlPr>
            </control>
          </mc:Choice>
        </mc:AlternateContent>
        <mc:AlternateContent xmlns:mc="http://schemas.openxmlformats.org/markup-compatibility/2006">
          <mc:Choice Requires="x14">
            <control shapeId="15371" r:id="rId13" name="Check Box 11">
              <controlPr defaultSize="0" autoFill="0" autoLine="0" autoPict="0">
                <anchor moveWithCells="1">
                  <from>
                    <xdr:col>0</xdr:col>
                    <xdr:colOff>76200</xdr:colOff>
                    <xdr:row>12</xdr:row>
                    <xdr:rowOff>127000</xdr:rowOff>
                  </from>
                  <to>
                    <xdr:col>1</xdr:col>
                    <xdr:colOff>114300</xdr:colOff>
                    <xdr:row>14</xdr:row>
                    <xdr:rowOff>38100</xdr:rowOff>
                  </to>
                </anchor>
              </controlPr>
            </control>
          </mc:Choice>
        </mc:AlternateContent>
        <mc:AlternateContent xmlns:mc="http://schemas.openxmlformats.org/markup-compatibility/2006">
          <mc:Choice Requires="x14">
            <control shapeId="15372" r:id="rId14" name="Check Box 12">
              <controlPr defaultSize="0" autoFill="0" autoLine="0" autoPict="0">
                <anchor moveWithCells="1">
                  <from>
                    <xdr:col>0</xdr:col>
                    <xdr:colOff>76200</xdr:colOff>
                    <xdr:row>13</xdr:row>
                    <xdr:rowOff>127000</xdr:rowOff>
                  </from>
                  <to>
                    <xdr:col>1</xdr:col>
                    <xdr:colOff>0</xdr:colOff>
                    <xdr:row>15</xdr:row>
                    <xdr:rowOff>25400</xdr:rowOff>
                  </to>
                </anchor>
              </controlPr>
            </control>
          </mc:Choice>
        </mc:AlternateContent>
        <mc:AlternateContent xmlns:mc="http://schemas.openxmlformats.org/markup-compatibility/2006">
          <mc:Choice Requires="x14">
            <control shapeId="15373" r:id="rId15" name="Check Box 13">
              <controlPr defaultSize="0" autoFill="0" autoLine="0" autoPict="0">
                <anchor moveWithCells="1">
                  <from>
                    <xdr:col>0</xdr:col>
                    <xdr:colOff>76200</xdr:colOff>
                    <xdr:row>14</xdr:row>
                    <xdr:rowOff>127000</xdr:rowOff>
                  </from>
                  <to>
                    <xdr:col>1</xdr:col>
                    <xdr:colOff>38100</xdr:colOff>
                    <xdr:row>16</xdr:row>
                    <xdr:rowOff>25400</xdr:rowOff>
                  </to>
                </anchor>
              </controlPr>
            </control>
          </mc:Choice>
        </mc:AlternateContent>
        <mc:AlternateContent xmlns:mc="http://schemas.openxmlformats.org/markup-compatibility/2006">
          <mc:Choice Requires="x14">
            <control shapeId="15374" r:id="rId16" name="Check Box 14">
              <controlPr defaultSize="0" autoFill="0" autoLine="0" autoPict="0">
                <anchor moveWithCells="1">
                  <from>
                    <xdr:col>0</xdr:col>
                    <xdr:colOff>76200</xdr:colOff>
                    <xdr:row>15</xdr:row>
                    <xdr:rowOff>127000</xdr:rowOff>
                  </from>
                  <to>
                    <xdr:col>1</xdr:col>
                    <xdr:colOff>88900</xdr:colOff>
                    <xdr:row>17</xdr:row>
                    <xdr:rowOff>25400</xdr:rowOff>
                  </to>
                </anchor>
              </controlPr>
            </control>
          </mc:Choice>
        </mc:AlternateContent>
        <mc:AlternateContent xmlns:mc="http://schemas.openxmlformats.org/markup-compatibility/2006">
          <mc:Choice Requires="x14">
            <control shapeId="15375" r:id="rId17" name="Check Box 15">
              <controlPr defaultSize="0" autoFill="0" autoLine="0" autoPict="0">
                <anchor moveWithCells="1">
                  <from>
                    <xdr:col>0</xdr:col>
                    <xdr:colOff>76200</xdr:colOff>
                    <xdr:row>16</xdr:row>
                    <xdr:rowOff>127000</xdr:rowOff>
                  </from>
                  <to>
                    <xdr:col>1</xdr:col>
                    <xdr:colOff>38100</xdr:colOff>
                    <xdr:row>18</xdr:row>
                    <xdr:rowOff>38100</xdr:rowOff>
                  </to>
                </anchor>
              </controlPr>
            </control>
          </mc:Choice>
        </mc:AlternateContent>
        <mc:AlternateContent xmlns:mc="http://schemas.openxmlformats.org/markup-compatibility/2006">
          <mc:Choice Requires="x14">
            <control shapeId="15376" r:id="rId18" name="Check Box 16">
              <controlPr defaultSize="0" autoFill="0" autoLine="0" autoPict="0">
                <anchor moveWithCells="1">
                  <from>
                    <xdr:col>0</xdr:col>
                    <xdr:colOff>76200</xdr:colOff>
                    <xdr:row>17</xdr:row>
                    <xdr:rowOff>139700</xdr:rowOff>
                  </from>
                  <to>
                    <xdr:col>1</xdr:col>
                    <xdr:colOff>25400</xdr:colOff>
                    <xdr:row>19</xdr:row>
                    <xdr:rowOff>38100</xdr:rowOff>
                  </to>
                </anchor>
              </controlPr>
            </control>
          </mc:Choice>
        </mc:AlternateContent>
        <mc:AlternateContent xmlns:mc="http://schemas.openxmlformats.org/markup-compatibility/2006">
          <mc:Choice Requires="x14">
            <control shapeId="15377" r:id="rId19" name="Check Box 17">
              <controlPr defaultSize="0" autoFill="0" autoLine="0" autoPict="0">
                <anchor moveWithCells="1">
                  <from>
                    <xdr:col>0</xdr:col>
                    <xdr:colOff>76200</xdr:colOff>
                    <xdr:row>18</xdr:row>
                    <xdr:rowOff>127000</xdr:rowOff>
                  </from>
                  <to>
                    <xdr:col>1</xdr:col>
                    <xdr:colOff>76200</xdr:colOff>
                    <xdr:row>20</xdr:row>
                    <xdr:rowOff>38100</xdr:rowOff>
                  </to>
                </anchor>
              </controlPr>
            </control>
          </mc:Choice>
        </mc:AlternateContent>
        <mc:AlternateContent xmlns:mc="http://schemas.openxmlformats.org/markup-compatibility/2006">
          <mc:Choice Requires="x14">
            <control shapeId="15378" r:id="rId20" name="Check Box 18">
              <controlPr defaultSize="0" autoFill="0" autoLine="0" autoPict="0">
                <anchor moveWithCells="1">
                  <from>
                    <xdr:col>0</xdr:col>
                    <xdr:colOff>76200</xdr:colOff>
                    <xdr:row>19</xdr:row>
                    <xdr:rowOff>139700</xdr:rowOff>
                  </from>
                  <to>
                    <xdr:col>1</xdr:col>
                    <xdr:colOff>190500</xdr:colOff>
                    <xdr:row>21</xdr:row>
                    <xdr:rowOff>38100</xdr:rowOff>
                  </to>
                </anchor>
              </controlPr>
            </control>
          </mc:Choice>
        </mc:AlternateContent>
        <mc:AlternateContent xmlns:mc="http://schemas.openxmlformats.org/markup-compatibility/2006">
          <mc:Choice Requires="x14">
            <control shapeId="15379" r:id="rId21" name="Check Box 19">
              <controlPr defaultSize="0" autoFill="0" autoLine="0" autoPict="0">
                <anchor moveWithCells="1">
                  <from>
                    <xdr:col>0</xdr:col>
                    <xdr:colOff>76200</xdr:colOff>
                    <xdr:row>21</xdr:row>
                    <xdr:rowOff>152400</xdr:rowOff>
                  </from>
                  <to>
                    <xdr:col>1</xdr:col>
                    <xdr:colOff>25400</xdr:colOff>
                    <xdr:row>23</xdr:row>
                    <xdr:rowOff>50800</xdr:rowOff>
                  </to>
                </anchor>
              </controlPr>
            </control>
          </mc:Choice>
        </mc:AlternateContent>
        <mc:AlternateContent xmlns:mc="http://schemas.openxmlformats.org/markup-compatibility/2006">
          <mc:Choice Requires="x14">
            <control shapeId="15380" r:id="rId22" name="Check Box 20">
              <controlPr locked="0" defaultSize="0" autoFill="0" autoLine="0" autoPict="0" altText="">
                <anchor moveWithCells="1">
                  <from>
                    <xdr:col>0</xdr:col>
                    <xdr:colOff>50800</xdr:colOff>
                    <xdr:row>26</xdr:row>
                    <xdr:rowOff>381000</xdr:rowOff>
                  </from>
                  <to>
                    <xdr:col>1</xdr:col>
                    <xdr:colOff>1676400</xdr:colOff>
                    <xdr:row>28</xdr:row>
                    <xdr:rowOff>12700</xdr:rowOff>
                  </to>
                </anchor>
              </controlPr>
            </control>
          </mc:Choice>
        </mc:AlternateContent>
        <mc:AlternateContent xmlns:mc="http://schemas.openxmlformats.org/markup-compatibility/2006">
          <mc:Choice Requires="x14">
            <control shapeId="15381" r:id="rId23" name="Check Box 21">
              <controlPr defaultSize="0" autoFill="0" autoLine="0" autoPict="0">
                <anchor moveWithCells="1">
                  <from>
                    <xdr:col>0</xdr:col>
                    <xdr:colOff>50800</xdr:colOff>
                    <xdr:row>28</xdr:row>
                    <xdr:rowOff>292100</xdr:rowOff>
                  </from>
                  <to>
                    <xdr:col>1</xdr:col>
                    <xdr:colOff>38100</xdr:colOff>
                    <xdr:row>30</xdr:row>
                    <xdr:rowOff>25400</xdr:rowOff>
                  </to>
                </anchor>
              </controlPr>
            </control>
          </mc:Choice>
        </mc:AlternateContent>
        <mc:AlternateContent xmlns:mc="http://schemas.openxmlformats.org/markup-compatibility/2006">
          <mc:Choice Requires="x14">
            <control shapeId="15382" r:id="rId24" name="Check Box 22">
              <controlPr defaultSize="0" autoFill="0" autoLine="0" autoPict="0">
                <anchor moveWithCells="1">
                  <from>
                    <xdr:col>0</xdr:col>
                    <xdr:colOff>50800</xdr:colOff>
                    <xdr:row>30</xdr:row>
                    <xdr:rowOff>0</xdr:rowOff>
                  </from>
                  <to>
                    <xdr:col>1</xdr:col>
                    <xdr:colOff>1485900</xdr:colOff>
                    <xdr:row>31</xdr:row>
                    <xdr:rowOff>0</xdr:rowOff>
                  </to>
                </anchor>
              </controlPr>
            </control>
          </mc:Choice>
        </mc:AlternateContent>
        <mc:AlternateContent xmlns:mc="http://schemas.openxmlformats.org/markup-compatibility/2006">
          <mc:Choice Requires="x14">
            <control shapeId="15383" r:id="rId25" name="Check Box 23">
              <controlPr defaultSize="0" autoFill="0" autoLine="0" autoPict="0">
                <anchor moveWithCells="1">
                  <from>
                    <xdr:col>0</xdr:col>
                    <xdr:colOff>50800</xdr:colOff>
                    <xdr:row>31</xdr:row>
                    <xdr:rowOff>0</xdr:rowOff>
                  </from>
                  <to>
                    <xdr:col>1</xdr:col>
                    <xdr:colOff>1600200</xdr:colOff>
                    <xdr:row>32</xdr:row>
                    <xdr:rowOff>0</xdr:rowOff>
                  </to>
                </anchor>
              </controlPr>
            </control>
          </mc:Choice>
        </mc:AlternateContent>
        <mc:AlternateContent xmlns:mc="http://schemas.openxmlformats.org/markup-compatibility/2006">
          <mc:Choice Requires="x14">
            <control shapeId="15384" r:id="rId26" name="Check Box 24">
              <controlPr defaultSize="0" autoFill="0" autoLine="0" autoPict="0">
                <anchor moveWithCells="1">
                  <from>
                    <xdr:col>0</xdr:col>
                    <xdr:colOff>50800</xdr:colOff>
                    <xdr:row>32</xdr:row>
                    <xdr:rowOff>0</xdr:rowOff>
                  </from>
                  <to>
                    <xdr:col>1</xdr:col>
                    <xdr:colOff>1549400</xdr:colOff>
                    <xdr:row>33</xdr:row>
                    <xdr:rowOff>0</xdr:rowOff>
                  </to>
                </anchor>
              </controlPr>
            </control>
          </mc:Choice>
        </mc:AlternateContent>
        <mc:AlternateContent xmlns:mc="http://schemas.openxmlformats.org/markup-compatibility/2006">
          <mc:Choice Requires="x14">
            <control shapeId="15385" r:id="rId27" name="Check Box 25">
              <controlPr defaultSize="0" autoFill="0" autoLine="0" autoPict="0">
                <anchor moveWithCells="1">
                  <from>
                    <xdr:col>0</xdr:col>
                    <xdr:colOff>50800</xdr:colOff>
                    <xdr:row>33</xdr:row>
                    <xdr:rowOff>0</xdr:rowOff>
                  </from>
                  <to>
                    <xdr:col>1</xdr:col>
                    <xdr:colOff>1066800</xdr:colOff>
                    <xdr:row>34</xdr:row>
                    <xdr:rowOff>0</xdr:rowOff>
                  </to>
                </anchor>
              </controlPr>
            </control>
          </mc:Choice>
        </mc:AlternateContent>
        <mc:AlternateContent xmlns:mc="http://schemas.openxmlformats.org/markup-compatibility/2006">
          <mc:Choice Requires="x14">
            <control shapeId="15386" r:id="rId28" name="Check Box 26">
              <controlPr defaultSize="0" autoFill="0" autoLine="0" autoPict="0">
                <anchor moveWithCells="1">
                  <from>
                    <xdr:col>0</xdr:col>
                    <xdr:colOff>50800</xdr:colOff>
                    <xdr:row>35</xdr:row>
                    <xdr:rowOff>0</xdr:rowOff>
                  </from>
                  <to>
                    <xdr:col>1</xdr:col>
                    <xdr:colOff>1816100</xdr:colOff>
                    <xdr:row>36</xdr:row>
                    <xdr:rowOff>0</xdr:rowOff>
                  </to>
                </anchor>
              </controlPr>
            </control>
          </mc:Choice>
        </mc:AlternateContent>
        <mc:AlternateContent xmlns:mc="http://schemas.openxmlformats.org/markup-compatibility/2006">
          <mc:Choice Requires="x14">
            <control shapeId="15387" r:id="rId29" name="Check Box 27">
              <controlPr defaultSize="0" autoFill="0" autoLine="0" autoPict="0">
                <anchor moveWithCells="1">
                  <from>
                    <xdr:col>0</xdr:col>
                    <xdr:colOff>50800</xdr:colOff>
                    <xdr:row>36</xdr:row>
                    <xdr:rowOff>0</xdr:rowOff>
                  </from>
                  <to>
                    <xdr:col>1</xdr:col>
                    <xdr:colOff>1371600</xdr:colOff>
                    <xdr:row>37</xdr:row>
                    <xdr:rowOff>0</xdr:rowOff>
                  </to>
                </anchor>
              </controlPr>
            </control>
          </mc:Choice>
        </mc:AlternateContent>
        <mc:AlternateContent xmlns:mc="http://schemas.openxmlformats.org/markup-compatibility/2006">
          <mc:Choice Requires="x14">
            <control shapeId="15388" r:id="rId30" name="Check Box 28">
              <controlPr defaultSize="0" autoFill="0" autoLine="0" autoPict="0">
                <anchor moveWithCells="1">
                  <from>
                    <xdr:col>0</xdr:col>
                    <xdr:colOff>50800</xdr:colOff>
                    <xdr:row>38</xdr:row>
                    <xdr:rowOff>0</xdr:rowOff>
                  </from>
                  <to>
                    <xdr:col>1</xdr:col>
                    <xdr:colOff>2184400</xdr:colOff>
                    <xdr:row>39</xdr:row>
                    <xdr:rowOff>0</xdr:rowOff>
                  </to>
                </anchor>
              </controlPr>
            </control>
          </mc:Choice>
        </mc:AlternateContent>
        <mc:AlternateContent xmlns:mc="http://schemas.openxmlformats.org/markup-compatibility/2006">
          <mc:Choice Requires="x14">
            <control shapeId="15389" r:id="rId31" name="Check Box 29">
              <controlPr defaultSize="0" autoFill="0" autoLine="0" autoPict="0">
                <anchor moveWithCells="1">
                  <from>
                    <xdr:col>0</xdr:col>
                    <xdr:colOff>50800</xdr:colOff>
                    <xdr:row>39</xdr:row>
                    <xdr:rowOff>0</xdr:rowOff>
                  </from>
                  <to>
                    <xdr:col>1</xdr:col>
                    <xdr:colOff>2451100</xdr:colOff>
                    <xdr:row>40</xdr:row>
                    <xdr:rowOff>0</xdr:rowOff>
                  </to>
                </anchor>
              </controlPr>
            </control>
          </mc:Choice>
        </mc:AlternateContent>
        <mc:AlternateContent xmlns:mc="http://schemas.openxmlformats.org/markup-compatibility/2006">
          <mc:Choice Requires="x14">
            <control shapeId="15390" r:id="rId32" name="Check Box 30">
              <controlPr defaultSize="0" autoFill="0" autoLine="0" autoPict="0">
                <anchor moveWithCells="1">
                  <from>
                    <xdr:col>0</xdr:col>
                    <xdr:colOff>50800</xdr:colOff>
                    <xdr:row>40</xdr:row>
                    <xdr:rowOff>0</xdr:rowOff>
                  </from>
                  <to>
                    <xdr:col>1</xdr:col>
                    <xdr:colOff>2374900</xdr:colOff>
                    <xdr:row>41</xdr:row>
                    <xdr:rowOff>0</xdr:rowOff>
                  </to>
                </anchor>
              </controlPr>
            </control>
          </mc:Choice>
        </mc:AlternateContent>
        <mc:AlternateContent xmlns:mc="http://schemas.openxmlformats.org/markup-compatibility/2006">
          <mc:Choice Requires="x14">
            <control shapeId="15391" r:id="rId33" name="Check Box 31">
              <controlPr defaultSize="0" autoFill="0" autoLine="0" autoPict="0">
                <anchor moveWithCells="1">
                  <from>
                    <xdr:col>0</xdr:col>
                    <xdr:colOff>76200</xdr:colOff>
                    <xdr:row>20</xdr:row>
                    <xdr:rowOff>165100</xdr:rowOff>
                  </from>
                  <to>
                    <xdr:col>1</xdr:col>
                    <xdr:colOff>63500</xdr:colOff>
                    <xdr:row>22</xdr:row>
                    <xdr:rowOff>38100</xdr:rowOff>
                  </to>
                </anchor>
              </controlPr>
            </control>
          </mc:Choice>
        </mc:AlternateContent>
        <mc:AlternateContent xmlns:mc="http://schemas.openxmlformats.org/markup-compatibility/2006">
          <mc:Choice Requires="x14">
            <control shapeId="15392" r:id="rId34" name="Check Box 32">
              <controlPr defaultSize="0" autoFill="0" autoLine="0" autoPict="0">
                <anchor moveWithCells="1">
                  <from>
                    <xdr:col>0</xdr:col>
                    <xdr:colOff>50800</xdr:colOff>
                    <xdr:row>33</xdr:row>
                    <xdr:rowOff>165100</xdr:rowOff>
                  </from>
                  <to>
                    <xdr:col>1</xdr:col>
                    <xdr:colOff>25400</xdr:colOff>
                    <xdr:row>35</xdr:row>
                    <xdr:rowOff>12700</xdr:rowOff>
                  </to>
                </anchor>
              </controlPr>
            </control>
          </mc:Choice>
        </mc:AlternateContent>
        <mc:AlternateContent xmlns:mc="http://schemas.openxmlformats.org/markup-compatibility/2006">
          <mc:Choice Requires="x14">
            <control shapeId="15393" r:id="rId35" name="Check Box 33">
              <controlPr defaultSize="0" autoFill="0" autoLine="0" autoPict="0">
                <anchor moveWithCells="1">
                  <from>
                    <xdr:col>0</xdr:col>
                    <xdr:colOff>50800</xdr:colOff>
                    <xdr:row>37</xdr:row>
                    <xdr:rowOff>0</xdr:rowOff>
                  </from>
                  <to>
                    <xdr:col>0</xdr:col>
                    <xdr:colOff>292100</xdr:colOff>
                    <xdr:row>38</xdr:row>
                    <xdr:rowOff>12700</xdr:rowOff>
                  </to>
                </anchor>
              </controlPr>
            </control>
          </mc:Choice>
        </mc:AlternateContent>
        <mc:AlternateContent xmlns:mc="http://schemas.openxmlformats.org/markup-compatibility/2006">
          <mc:Choice Requires="x14">
            <control shapeId="15394" r:id="rId36" name="Check Box 34">
              <controlPr defaultSize="0" autoFill="0" autoLine="0" autoPict="0">
                <anchor moveWithCells="1">
                  <from>
                    <xdr:col>0</xdr:col>
                    <xdr:colOff>50800</xdr:colOff>
                    <xdr:row>28</xdr:row>
                    <xdr:rowOff>12700</xdr:rowOff>
                  </from>
                  <to>
                    <xdr:col>1</xdr:col>
                    <xdr:colOff>25400</xdr:colOff>
                    <xdr:row>28</xdr:row>
                    <xdr:rowOff>279400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51C94-2BAD-D149-860A-4290946B05FB}">
  <dimension ref="A1:V66"/>
  <sheetViews>
    <sheetView showGridLines="0" showRowColHeaders="0" showRuler="0" topLeftCell="A65" zoomScale="121" zoomScaleNormal="120" zoomScalePageLayoutView="115" workbookViewId="0">
      <selection activeCell="A22" sqref="A22"/>
    </sheetView>
  </sheetViews>
  <sheetFormatPr defaultColWidth="0" defaultRowHeight="0" customHeight="1" zeroHeight="1" x14ac:dyDescent="0.25"/>
  <cols>
    <col min="1" max="1" width="3.1640625" style="2" customWidth="1"/>
    <col min="2" max="2" width="27.6640625" style="1" customWidth="1"/>
    <col min="3" max="3" width="11.33203125" style="1" customWidth="1"/>
    <col min="4" max="4" width="11" style="48" customWidth="1"/>
    <col min="5" max="5" width="13.33203125" style="1" customWidth="1"/>
    <col min="6" max="6" width="16.33203125" style="1" customWidth="1"/>
    <col min="7" max="7" width="5.83203125" style="1" customWidth="1"/>
    <col min="8" max="8" width="9.33203125" style="1" hidden="1" customWidth="1"/>
    <col min="9" max="9" width="6.6640625" style="1" hidden="1" customWidth="1"/>
    <col min="10" max="10" width="7.5" style="1" hidden="1" customWidth="1"/>
    <col min="11" max="11" width="8.6640625" style="1" hidden="1" customWidth="1"/>
    <col min="12" max="12" width="42.83203125" style="1" hidden="1" customWidth="1"/>
    <col min="13" max="13" width="5.33203125" style="1" hidden="1" customWidth="1"/>
    <col min="14" max="14" width="4.83203125" style="1" hidden="1" customWidth="1"/>
    <col min="15" max="15" width="6" style="1" hidden="1" customWidth="1"/>
    <col min="16" max="22" width="8.6640625" style="1" hidden="1" customWidth="1"/>
    <col min="23" max="16378" width="8.6640625" style="1" customWidth="1"/>
    <col min="16379" max="16379" width="3.1640625" style="1" customWidth="1"/>
    <col min="16380" max="16380" width="3.6640625" style="1" customWidth="1"/>
    <col min="16381" max="16381" width="4.6640625" style="1" customWidth="1"/>
    <col min="16382" max="16382" width="4.33203125" style="1" customWidth="1"/>
    <col min="16383" max="16384" width="2.6640625" style="1" customWidth="1"/>
  </cols>
  <sheetData>
    <row r="1" spans="1:12" ht="18" x14ac:dyDescent="0.25">
      <c r="A1" s="548" t="s">
        <v>678</v>
      </c>
      <c r="B1" s="548"/>
      <c r="C1" s="548"/>
      <c r="D1" s="548"/>
      <c r="E1" s="549"/>
      <c r="F1" s="549"/>
    </row>
    <row r="2" spans="1:12" ht="8.25" customHeight="1" x14ac:dyDescent="0.25"/>
    <row r="3" spans="1:12" ht="28.5" customHeight="1" x14ac:dyDescent="0.3">
      <c r="A3" s="3" t="s">
        <v>677</v>
      </c>
      <c r="B3" s="747" t="s">
        <v>1907</v>
      </c>
      <c r="C3" s="747"/>
      <c r="D3" s="747"/>
      <c r="E3" s="748"/>
      <c r="F3" s="748"/>
    </row>
    <row r="4" spans="1:12" ht="37.5" customHeight="1" x14ac:dyDescent="0.25">
      <c r="A4" s="3"/>
      <c r="B4" s="749"/>
      <c r="C4" s="749"/>
      <c r="D4" s="749" t="b">
        <v>0</v>
      </c>
      <c r="E4" s="491" t="s">
        <v>1890</v>
      </c>
      <c r="F4" s="161" t="s">
        <v>370</v>
      </c>
    </row>
    <row r="5" spans="1:12" ht="39.75" customHeight="1" x14ac:dyDescent="0.3">
      <c r="A5" s="3"/>
      <c r="B5" s="750" t="s">
        <v>1906</v>
      </c>
      <c r="C5" s="751"/>
      <c r="D5" s="751"/>
      <c r="E5" s="279">
        <v>62.07</v>
      </c>
      <c r="F5" s="492">
        <v>72.989999999999995</v>
      </c>
      <c r="G5" s="69" t="s">
        <v>1888</v>
      </c>
    </row>
    <row r="6" spans="1:12" ht="13" x14ac:dyDescent="0.3">
      <c r="A6" s="3"/>
      <c r="B6" s="750" t="s">
        <v>676</v>
      </c>
      <c r="C6" s="751"/>
      <c r="D6" s="751"/>
      <c r="E6" s="238">
        <v>0</v>
      </c>
      <c r="F6" s="492">
        <v>0</v>
      </c>
      <c r="G6" s="69" t="s">
        <v>1888</v>
      </c>
    </row>
    <row r="7" spans="1:12" ht="13" x14ac:dyDescent="0.3">
      <c r="A7" s="3"/>
      <c r="B7" s="750" t="s">
        <v>675</v>
      </c>
      <c r="C7" s="751"/>
      <c r="D7" s="751"/>
      <c r="E7" s="238">
        <v>0</v>
      </c>
      <c r="F7" s="492">
        <v>0</v>
      </c>
      <c r="G7" s="69" t="s">
        <v>1888</v>
      </c>
    </row>
    <row r="8" spans="1:12" ht="30" customHeight="1" x14ac:dyDescent="0.3">
      <c r="A8" s="3"/>
      <c r="B8" s="750" t="s">
        <v>674</v>
      </c>
      <c r="C8" s="751"/>
      <c r="D8" s="751"/>
      <c r="E8" s="238">
        <v>88.4</v>
      </c>
      <c r="F8" s="492">
        <v>89.9</v>
      </c>
      <c r="G8" s="69" t="s">
        <v>1888</v>
      </c>
    </row>
    <row r="9" spans="1:12" ht="13" x14ac:dyDescent="0.3">
      <c r="A9" s="3"/>
      <c r="B9" s="750" t="s">
        <v>673</v>
      </c>
      <c r="C9" s="751"/>
      <c r="D9" s="751"/>
      <c r="E9" s="238">
        <v>9.8000000000000007</v>
      </c>
      <c r="F9" s="492">
        <v>5.4</v>
      </c>
      <c r="G9" s="69" t="s">
        <v>1888</v>
      </c>
    </row>
    <row r="10" spans="1:12" ht="13" x14ac:dyDescent="0.3">
      <c r="A10" s="3"/>
      <c r="B10" s="750" t="s">
        <v>672</v>
      </c>
      <c r="C10" s="751"/>
      <c r="D10" s="751"/>
      <c r="E10" s="238">
        <v>0.57999999999999996</v>
      </c>
      <c r="F10" s="492">
        <v>1.02</v>
      </c>
      <c r="G10" s="69" t="s">
        <v>1888</v>
      </c>
    </row>
    <row r="11" spans="1:12" ht="13" x14ac:dyDescent="0.25">
      <c r="A11" s="3"/>
      <c r="B11" s="750" t="s">
        <v>671</v>
      </c>
      <c r="C11" s="751"/>
      <c r="D11" s="751"/>
      <c r="E11" s="238">
        <v>18.77</v>
      </c>
      <c r="F11" s="238">
        <v>20.22</v>
      </c>
    </row>
    <row r="12" spans="1:12" ht="13" x14ac:dyDescent="0.25">
      <c r="A12" s="3"/>
      <c r="B12" s="750" t="s">
        <v>670</v>
      </c>
      <c r="C12" s="751"/>
      <c r="D12" s="751"/>
      <c r="E12" s="238">
        <v>18.77</v>
      </c>
      <c r="F12" s="238">
        <v>20.22</v>
      </c>
    </row>
    <row r="13" spans="1:12" ht="9.75" customHeight="1" x14ac:dyDescent="0.25"/>
    <row r="14" spans="1:12" ht="13" x14ac:dyDescent="0.25">
      <c r="A14" s="3" t="s">
        <v>669</v>
      </c>
      <c r="B14" s="741" t="s">
        <v>668</v>
      </c>
      <c r="C14" s="550"/>
      <c r="D14" s="550"/>
      <c r="E14" s="544"/>
      <c r="F14" s="544"/>
    </row>
    <row r="15" spans="1:12" ht="13" x14ac:dyDescent="0.25">
      <c r="B15" s="24"/>
      <c r="C15" s="5"/>
      <c r="D15" s="80"/>
      <c r="E15" s="35"/>
      <c r="F15" s="35"/>
    </row>
    <row r="16" spans="1:12" ht="16" customHeight="1" x14ac:dyDescent="0.25">
      <c r="A16" s="3"/>
      <c r="B16" s="160" t="s">
        <v>667</v>
      </c>
      <c r="C16" s="12"/>
      <c r="D16" s="264" t="b">
        <v>1</v>
      </c>
      <c r="E16" s="35"/>
      <c r="F16" s="35"/>
      <c r="L16" s="1" t="str" cm="1">
        <f t="array" ref="L16">_xlfn.IFS($D$16=TRUE, "Campus ministries|", $D$16=FALSE, "")</f>
        <v>Campus ministries|</v>
      </c>
    </row>
    <row r="17" spans="1:12" ht="16" customHeight="1" x14ac:dyDescent="0.25">
      <c r="A17" s="60"/>
      <c r="B17" s="5" t="s">
        <v>666</v>
      </c>
      <c r="C17" s="12"/>
      <c r="D17" s="252" t="b">
        <v>1</v>
      </c>
      <c r="E17" s="35"/>
      <c r="L17" s="35" t="str" cm="1">
        <f t="array" ref="L17">_xlfn.IFS($D$17=TRUE, "Choral groups|", $D$17=FALSE, "")</f>
        <v>Choral groups|</v>
      </c>
    </row>
    <row r="18" spans="1:12" ht="16" customHeight="1" x14ac:dyDescent="0.25">
      <c r="A18" s="60"/>
      <c r="B18" s="5" t="s">
        <v>665</v>
      </c>
      <c r="C18" s="12"/>
      <c r="D18" s="252" t="b">
        <v>1</v>
      </c>
      <c r="E18" s="35"/>
      <c r="L18" s="35" t="str" cm="1">
        <f t="array" ref="L18">_xlfn.IFS($D$18=TRUE, "Concert band|", $D$18=FALSE, "")</f>
        <v>Concert band|</v>
      </c>
    </row>
    <row r="19" spans="1:12" ht="16" customHeight="1" x14ac:dyDescent="0.25">
      <c r="A19" s="60"/>
      <c r="B19" s="5" t="s">
        <v>664</v>
      </c>
      <c r="C19" s="12"/>
      <c r="D19" s="252" t="b">
        <v>1</v>
      </c>
      <c r="E19" s="35"/>
      <c r="L19" s="35" t="str" cm="1">
        <f t="array" ref="L19">_xlfn.IFS($D$19=TRUE, "Dance|", $D$19=FALSE, "")</f>
        <v>Dance|</v>
      </c>
    </row>
    <row r="20" spans="1:12" ht="16" customHeight="1" x14ac:dyDescent="0.25">
      <c r="A20" s="60"/>
      <c r="B20" s="5" t="s">
        <v>663</v>
      </c>
      <c r="C20" s="12"/>
      <c r="D20" s="252" t="b">
        <v>1</v>
      </c>
      <c r="E20" s="35"/>
      <c r="L20" s="35" t="str" cm="1">
        <f t="array" ref="L20">_xlfn.IFS($D$20=TRUE, "Drama/Theater|", $D$20=FALSE, "")</f>
        <v>Drama/Theater|</v>
      </c>
    </row>
    <row r="21" spans="1:12" ht="16" customHeight="1" x14ac:dyDescent="0.25">
      <c r="A21" s="60"/>
      <c r="B21" s="4" t="s">
        <v>662</v>
      </c>
      <c r="C21" s="36"/>
      <c r="D21" s="265" t="b">
        <v>1</v>
      </c>
      <c r="E21" s="35"/>
      <c r="L21" s="35" t="str" cm="1">
        <f t="array" ref="L21">_xlfn.IFS($D$21=TRUE, "International student organization|", $D$21=FALSE, "")</f>
        <v>International student organization|</v>
      </c>
    </row>
    <row r="22" spans="1:12" ht="16" customHeight="1" x14ac:dyDescent="0.25">
      <c r="A22" s="60"/>
      <c r="B22" s="5" t="s">
        <v>661</v>
      </c>
      <c r="C22" s="12"/>
      <c r="D22" s="252" t="b">
        <v>1</v>
      </c>
      <c r="E22" s="35"/>
      <c r="L22" s="35" t="str" cm="1">
        <f t="array" ref="L22">_xlfn.IFS($D$22=TRUE, "Jazz band|", $D$22=FALSE, "")</f>
        <v>Jazz band|</v>
      </c>
    </row>
    <row r="23" spans="1:12" ht="16" customHeight="1" x14ac:dyDescent="0.25">
      <c r="A23" s="60"/>
      <c r="B23" s="5" t="s">
        <v>660</v>
      </c>
      <c r="C23" s="12"/>
      <c r="D23" s="252" t="b">
        <v>1</v>
      </c>
      <c r="E23" s="35"/>
      <c r="L23" s="35" t="str" cm="1">
        <f t="array" ref="L23">_xlfn.IFS($D$23=TRUE, "Literary magazine|", $D$23=FALSE, "")</f>
        <v>Literary magazine|</v>
      </c>
    </row>
    <row r="24" spans="1:12" ht="16" customHeight="1" x14ac:dyDescent="0.25">
      <c r="A24" s="60"/>
      <c r="B24" s="5" t="s">
        <v>659</v>
      </c>
      <c r="C24" s="12"/>
      <c r="D24" s="252" t="b">
        <v>0</v>
      </c>
      <c r="E24" s="35"/>
      <c r="L24" s="35" t="str" cm="1">
        <f t="array" ref="L24">_xlfn.IFS($D$24=TRUE, "Marching band|", $D$24=FALSE, "")</f>
        <v/>
      </c>
    </row>
    <row r="25" spans="1:12" ht="16" customHeight="1" x14ac:dyDescent="0.25">
      <c r="A25" s="60"/>
      <c r="B25" s="5" t="s">
        <v>658</v>
      </c>
      <c r="C25" s="12"/>
      <c r="D25" s="252" t="b">
        <v>1</v>
      </c>
      <c r="E25" s="35"/>
      <c r="L25" s="35" t="str" cm="1">
        <f t="array" ref="L25">_xlfn.IFS($D$25=TRUE, "Model UN|", $D$25=FALSE, "")</f>
        <v>Model UN|</v>
      </c>
    </row>
    <row r="26" spans="1:12" ht="16" customHeight="1" x14ac:dyDescent="0.25">
      <c r="A26" s="60"/>
      <c r="B26" s="5" t="s">
        <v>657</v>
      </c>
      <c r="C26" s="12"/>
      <c r="D26" s="252" t="b">
        <v>1</v>
      </c>
      <c r="E26" s="35"/>
      <c r="L26" s="35" t="str" cm="1">
        <f t="array" ref="L26">_xlfn.IFS($D$26=TRUE, "Music ensembles|", $D$26=FALSE, "")</f>
        <v>Music ensembles|</v>
      </c>
    </row>
    <row r="27" spans="1:12" ht="16" customHeight="1" x14ac:dyDescent="0.25">
      <c r="A27" s="60"/>
      <c r="B27" s="5" t="s">
        <v>656</v>
      </c>
      <c r="C27" s="12"/>
      <c r="D27" s="252" t="b">
        <v>1</v>
      </c>
      <c r="E27" s="35"/>
      <c r="L27" s="35" t="str" cm="1">
        <f t="array" ref="L27">_xlfn.IFS($D$27=TRUE, "Musical theater|", $D$27=FALSE, "")</f>
        <v>Musical theater|</v>
      </c>
    </row>
    <row r="28" spans="1:12" ht="16" customHeight="1" x14ac:dyDescent="0.25">
      <c r="A28" s="60"/>
      <c r="B28" s="5" t="s">
        <v>655</v>
      </c>
      <c r="C28" s="12"/>
      <c r="D28" s="252" t="b">
        <v>0</v>
      </c>
      <c r="E28" s="35"/>
      <c r="L28" s="35" t="str" cm="1">
        <f t="array" ref="L28">_xlfn.IFS($D$28=TRUE, "Opera|", $D$28=FALSE, "")</f>
        <v/>
      </c>
    </row>
    <row r="29" spans="1:12" ht="16" customHeight="1" x14ac:dyDescent="0.25">
      <c r="A29" s="60"/>
      <c r="B29" s="5" t="s">
        <v>654</v>
      </c>
      <c r="C29" s="12"/>
      <c r="D29" s="252" t="b">
        <v>0</v>
      </c>
      <c r="E29" s="35"/>
      <c r="L29" s="35" t="str" cm="1">
        <f t="array" ref="L29">_xlfn.IFS($D$29=TRUE, "Pep Band|", $D$29=FALSE, "")</f>
        <v/>
      </c>
    </row>
    <row r="30" spans="1:12" ht="16" customHeight="1" x14ac:dyDescent="0.25">
      <c r="A30" s="60"/>
      <c r="B30" s="5" t="s">
        <v>653</v>
      </c>
      <c r="C30" s="12"/>
      <c r="D30" s="252" t="b">
        <v>1</v>
      </c>
      <c r="E30" s="35"/>
      <c r="L30" s="35" t="str" cm="1">
        <f t="array" ref="L30">_xlfn.IFS($D$30=TRUE, "Radio station|", $D$30=FALSE, "")</f>
        <v>Radio station|</v>
      </c>
    </row>
    <row r="31" spans="1:12" ht="16" customHeight="1" x14ac:dyDescent="0.25">
      <c r="A31" s="60"/>
      <c r="B31" s="5" t="s">
        <v>652</v>
      </c>
      <c r="C31" s="12"/>
      <c r="D31" s="252" t="b">
        <v>1</v>
      </c>
      <c r="E31" s="35"/>
      <c r="L31" s="35" t="str" cm="1">
        <f t="array" ref="L31">_xlfn.IFS($D$31=TRUE, "Student government|", $D$31=FALSE, "")</f>
        <v>Student government|</v>
      </c>
    </row>
    <row r="32" spans="1:12" ht="16" customHeight="1" x14ac:dyDescent="0.25">
      <c r="A32" s="60"/>
      <c r="B32" s="5" t="s">
        <v>651</v>
      </c>
      <c r="C32" s="12"/>
      <c r="D32" s="252" t="b">
        <v>1</v>
      </c>
      <c r="E32" s="35"/>
      <c r="L32" s="35" t="str" cm="1">
        <f t="array" ref="L32">_xlfn.IFS($D$32=TRUE, "Student newspaper|", $D$32=FALSE, "")</f>
        <v>Student newspaper|</v>
      </c>
    </row>
    <row r="33" spans="1:13" ht="16" customHeight="1" x14ac:dyDescent="0.25">
      <c r="A33" s="60"/>
      <c r="B33" s="5" t="s">
        <v>650</v>
      </c>
      <c r="C33" s="12"/>
      <c r="D33" s="252" t="b">
        <v>0</v>
      </c>
      <c r="E33" s="35"/>
      <c r="L33" s="35" t="str" cm="1">
        <f t="array" ref="L33">_xlfn.IFS($D$33=TRUE, "Student-run film society|", $D$33=FALSE, "")</f>
        <v/>
      </c>
    </row>
    <row r="34" spans="1:13" ht="16" customHeight="1" x14ac:dyDescent="0.25">
      <c r="A34" s="60"/>
      <c r="B34" s="5" t="s">
        <v>649</v>
      </c>
      <c r="C34" s="12"/>
      <c r="D34" s="252" t="b">
        <v>0</v>
      </c>
      <c r="E34" s="35"/>
      <c r="L34" s="35" t="str" cm="1">
        <f t="array" ref="L34">_xlfn.IFS($D$34=TRUE, "Symphony orchestra|", $D$34=FALSE, "")</f>
        <v/>
      </c>
    </row>
    <row r="35" spans="1:13" ht="16" customHeight="1" x14ac:dyDescent="0.25">
      <c r="A35" s="60"/>
      <c r="B35" s="5" t="s">
        <v>648</v>
      </c>
      <c r="C35" s="12"/>
      <c r="D35" s="252" t="b">
        <v>0</v>
      </c>
      <c r="E35" s="35"/>
      <c r="L35" s="35" t="str" cm="1">
        <f t="array" ref="L35">_xlfn.IFS($D$35=TRUE, "Television station|", $D$35=FALSE, "")</f>
        <v/>
      </c>
    </row>
    <row r="36" spans="1:13" ht="16" customHeight="1" x14ac:dyDescent="0.25">
      <c r="A36" s="60"/>
      <c r="B36" s="5" t="s">
        <v>647</v>
      </c>
      <c r="C36" s="12"/>
      <c r="D36" s="252" t="b">
        <v>0</v>
      </c>
      <c r="E36" s="35"/>
      <c r="L36" s="35" t="str" cm="1">
        <f t="array" ref="L36">_xlfn.IFS($D$36=TRUE, "Yearbook|", $D$36=FALSE, "")</f>
        <v/>
      </c>
    </row>
    <row r="37" spans="1:13" ht="12.75" customHeight="1" x14ac:dyDescent="0.25"/>
    <row r="38" spans="1:13" ht="13" x14ac:dyDescent="0.25">
      <c r="A38" s="3" t="s">
        <v>646</v>
      </c>
      <c r="B38" s="744" t="s">
        <v>645</v>
      </c>
      <c r="C38" s="745"/>
      <c r="D38" s="745"/>
      <c r="E38" s="746"/>
      <c r="F38" s="544"/>
    </row>
    <row r="39" spans="1:13" s="141" customFormat="1" ht="24" customHeight="1" x14ac:dyDescent="0.35">
      <c r="A39" s="3"/>
      <c r="B39" s="14"/>
      <c r="C39" s="140" t="s">
        <v>1488</v>
      </c>
      <c r="D39" s="140" t="s">
        <v>644</v>
      </c>
      <c r="E39" s="159" t="s">
        <v>643</v>
      </c>
      <c r="F39" s="742" t="s">
        <v>642</v>
      </c>
      <c r="G39" s="743"/>
      <c r="H39" s="215"/>
      <c r="I39" s="166"/>
    </row>
    <row r="40" spans="1:13" ht="13" x14ac:dyDescent="0.25">
      <c r="A40" s="3"/>
      <c r="B40" s="158" t="s">
        <v>641</v>
      </c>
      <c r="C40" s="214"/>
      <c r="D40" s="126"/>
      <c r="E40" s="126"/>
      <c r="F40" s="739" t="s">
        <v>582</v>
      </c>
      <c r="G40" s="740"/>
      <c r="H40" s="266"/>
      <c r="I40" s="266" t="b">
        <v>0</v>
      </c>
      <c r="J40" s="267" t="b">
        <v>0</v>
      </c>
      <c r="K40" s="1" t="str" cm="1">
        <f t="array" ref="K40">_xlfn.IFS($I$40=TRUE, "On Campus|", $I$40=FALSE, "")</f>
        <v/>
      </c>
      <c r="L40" s="1" t="str" cm="1">
        <f t="array" ref="L40">_xlfn.IFS($J$40=TRUE, "At cooperating institution|", $J$40=FALSE, "")</f>
        <v/>
      </c>
    </row>
    <row r="41" spans="1:13" ht="13" x14ac:dyDescent="0.25">
      <c r="A41" s="3"/>
      <c r="B41" s="158" t="s">
        <v>640</v>
      </c>
      <c r="C41" s="193"/>
      <c r="D41" s="126"/>
      <c r="E41" s="126"/>
      <c r="F41" s="739"/>
      <c r="G41" s="740"/>
      <c r="H41" s="266" t="b">
        <v>0</v>
      </c>
      <c r="I41" s="266" t="b">
        <v>0</v>
      </c>
      <c r="J41" s="267" t="b">
        <v>0</v>
      </c>
      <c r="K41" s="1" t="str" cm="1">
        <f t="array" ref="K41">_xlfn.IFS($I$41=TRUE, "On Campus|", $I$41=FALSE, "")</f>
        <v/>
      </c>
      <c r="L41" s="1" t="str" cm="1">
        <f t="array" ref="L41">_xlfn.IFS($J$41=TRUE, "At cooperating institution|", $J$41=FALSE, "")</f>
        <v/>
      </c>
      <c r="M41" s="1" t="str" cm="1">
        <f t="array" ref="M41">_xlfn.IFS($H$41=TRUE, "Marine Option|", $H$41=FALSE, "")</f>
        <v/>
      </c>
    </row>
    <row r="42" spans="1:13" ht="13" x14ac:dyDescent="0.25">
      <c r="A42" s="3"/>
      <c r="B42" s="158" t="s">
        <v>639</v>
      </c>
      <c r="C42" s="214"/>
      <c r="D42" s="126"/>
      <c r="E42" s="126"/>
      <c r="F42" s="739" t="s">
        <v>582</v>
      </c>
      <c r="G42" s="740"/>
      <c r="H42" s="266"/>
      <c r="I42" s="266" t="b">
        <v>0</v>
      </c>
      <c r="J42" s="267" t="b">
        <v>0</v>
      </c>
      <c r="K42" s="1" t="str" cm="1">
        <f t="array" ref="K42">_xlfn.IFS($I$42=TRUE, "On Campus|", $I$42=FALSE, "")</f>
        <v/>
      </c>
      <c r="L42" s="1" t="str" cm="1">
        <f t="array" ref="L42">_xlfn.IFS($J$42=TRUE, "At cooperating institution|", $J$42=FALSE, "")</f>
        <v/>
      </c>
    </row>
    <row r="43" spans="1:13" ht="9" customHeight="1" x14ac:dyDescent="0.25"/>
    <row r="44" spans="1:13" ht="26.25" customHeight="1" x14ac:dyDescent="0.25">
      <c r="A44" s="3" t="s">
        <v>638</v>
      </c>
      <c r="B44" s="741" t="s">
        <v>637</v>
      </c>
      <c r="C44" s="550"/>
      <c r="D44" s="550"/>
      <c r="E44" s="550"/>
      <c r="F44" s="550"/>
    </row>
    <row r="45" spans="1:13" ht="14.25" customHeight="1" x14ac:dyDescent="0.25">
      <c r="A45" s="3"/>
      <c r="B45" s="24"/>
      <c r="C45" s="5"/>
      <c r="D45" s="80"/>
      <c r="E45" s="5"/>
      <c r="F45" s="5"/>
      <c r="L45" s="170"/>
    </row>
    <row r="46" spans="1:13" ht="16" customHeight="1" x14ac:dyDescent="0.25">
      <c r="A46" s="60"/>
      <c r="B46" s="57" t="s">
        <v>1489</v>
      </c>
      <c r="C46" s="157"/>
      <c r="D46" s="268" t="b">
        <v>1</v>
      </c>
      <c r="E46" s="170"/>
      <c r="L46" s="170" t="str" cm="1">
        <f t="array" ref="L46">_xlfn.IFS($D$46=TRUE, "Coed residence halls|", $D$46=FALSE, "")</f>
        <v>Coed residence halls|</v>
      </c>
    </row>
    <row r="47" spans="1:13" ht="16" customHeight="1" x14ac:dyDescent="0.25">
      <c r="A47" s="60"/>
      <c r="B47" s="57" t="s">
        <v>1490</v>
      </c>
      <c r="C47" s="157"/>
      <c r="D47" s="268" t="b">
        <v>0</v>
      </c>
      <c r="E47" s="170"/>
      <c r="L47" s="170" t="str" cm="1">
        <f t="array" ref="L47">_xlfn.IFS($D$47=TRUE, "Men's residence halls|", $D$47=FALSE, "")</f>
        <v/>
      </c>
    </row>
    <row r="48" spans="1:13" ht="16" customHeight="1" x14ac:dyDescent="0.25">
      <c r="A48" s="60"/>
      <c r="B48" s="57" t="s">
        <v>1491</v>
      </c>
      <c r="C48" s="157"/>
      <c r="D48" s="268" t="b">
        <v>0</v>
      </c>
      <c r="E48" s="170"/>
      <c r="L48" s="170" t="str" cm="1">
        <f t="array" ref="L48">_xlfn.IFS($D$48=TRUE, "Women's residence halls|", $D$48=FALSE, "")</f>
        <v/>
      </c>
    </row>
    <row r="49" spans="1:12" ht="16" customHeight="1" x14ac:dyDescent="0.25">
      <c r="A49" s="60"/>
      <c r="B49" s="57" t="s">
        <v>636</v>
      </c>
      <c r="C49" s="57"/>
      <c r="D49" s="268" t="b">
        <v>0</v>
      </c>
      <c r="E49" s="170"/>
      <c r="L49" s="170" t="str" cm="1">
        <f t="array" ref="L49">_xlfn.IFS($D$49=TRUE, "Apartments for married students|", $D$49=FALSE, "")</f>
        <v/>
      </c>
    </row>
    <row r="50" spans="1:12" ht="16" customHeight="1" x14ac:dyDescent="0.25">
      <c r="A50" s="60"/>
      <c r="B50" s="57" t="s">
        <v>635</v>
      </c>
      <c r="C50" s="57"/>
      <c r="D50" s="268" t="b">
        <v>1</v>
      </c>
      <c r="E50" s="170"/>
      <c r="L50" s="170" t="str" cm="1">
        <f t="array" ref="L50">_xlfn.IFS($D$50=TRUE, "Apartments for single students|", $D$50=FALSE, "")</f>
        <v>Apartments for single students|</v>
      </c>
    </row>
    <row r="51" spans="1:12" ht="16" customHeight="1" x14ac:dyDescent="0.25">
      <c r="A51" s="60"/>
      <c r="B51" s="57" t="s">
        <v>634</v>
      </c>
      <c r="C51" s="57"/>
      <c r="D51" s="268" t="b">
        <v>1</v>
      </c>
      <c r="E51" s="170"/>
      <c r="L51" s="170" t="str" cm="1">
        <f t="array" ref="L51">_xlfn.IFS($D$51=TRUE, "Special housing for disabled students|", $D$51=FALSE, "")</f>
        <v>Special housing for disabled students|</v>
      </c>
    </row>
    <row r="52" spans="1:12" ht="16" customHeight="1" x14ac:dyDescent="0.25">
      <c r="A52" s="60"/>
      <c r="B52" s="57" t="s">
        <v>633</v>
      </c>
      <c r="C52" s="57"/>
      <c r="D52" s="269" t="b">
        <v>0</v>
      </c>
      <c r="E52" s="170"/>
      <c r="L52" s="170" t="str" cm="1">
        <f t="array" ref="L52">_xlfn.IFS($D$52=TRUE, "Special housing for international students|", $D$52=FALSE, "")</f>
        <v/>
      </c>
    </row>
    <row r="53" spans="1:12" ht="16" customHeight="1" x14ac:dyDescent="0.25">
      <c r="A53" s="60"/>
      <c r="B53" s="57" t="s">
        <v>632</v>
      </c>
      <c r="C53" s="157"/>
      <c r="D53" s="268" t="b">
        <v>0</v>
      </c>
      <c r="E53" s="170"/>
      <c r="L53" s="170" t="str" cm="1">
        <f t="array" ref="L53">_xlfn.IFS($D$53=TRUE, "Fraternity/sorority housing|", $D$53=FALSE, "")</f>
        <v/>
      </c>
    </row>
    <row r="54" spans="1:12" ht="16" customHeight="1" x14ac:dyDescent="0.25">
      <c r="A54" s="60"/>
      <c r="B54" s="57" t="s">
        <v>1492</v>
      </c>
      <c r="C54" s="157"/>
      <c r="D54" s="268" t="b">
        <v>1</v>
      </c>
      <c r="E54" s="170"/>
      <c r="L54" s="170" t="str" cm="1">
        <f t="array" ref="L54">_xlfn.IFS($D$54=TRUE, "Living Learning Communities|", $D$54=FALSE, "")</f>
        <v>Living Learning Communities|</v>
      </c>
    </row>
    <row r="55" spans="1:12" ht="16" customHeight="1" x14ac:dyDescent="0.25">
      <c r="A55" s="60"/>
      <c r="B55" s="57" t="s">
        <v>631</v>
      </c>
      <c r="C55" s="157"/>
      <c r="D55" s="268" t="b">
        <v>0</v>
      </c>
      <c r="E55" s="170"/>
      <c r="L55" s="170" t="str" cm="1">
        <f t="array" ref="L55">_xlfn.IFS($D$55=TRUE, "Cooperative housing|", $D$55=FALSE, "")</f>
        <v/>
      </c>
    </row>
    <row r="56" spans="1:12" ht="16" customHeight="1" x14ac:dyDescent="0.25">
      <c r="A56" s="60"/>
      <c r="B56" s="57" t="s">
        <v>630</v>
      </c>
      <c r="C56" s="157"/>
      <c r="D56" s="268" t="b">
        <v>1</v>
      </c>
      <c r="E56" s="170"/>
      <c r="L56" s="170" t="str" cm="1">
        <f t="array" ref="L56">_xlfn.IFS($D$56=TRUE, "Theme housing|", $D$56=FALSE, "")</f>
        <v>Theme housing|</v>
      </c>
    </row>
    <row r="57" spans="1:12" ht="16" customHeight="1" x14ac:dyDescent="0.25">
      <c r="A57" s="60"/>
      <c r="B57" s="57" t="s">
        <v>629</v>
      </c>
      <c r="C57" s="157"/>
      <c r="D57" s="268" t="b">
        <v>1</v>
      </c>
      <c r="E57" s="170"/>
      <c r="L57" s="170" t="str" cm="1">
        <f t="array" ref="L57">_xlfn.IFS($D$57=TRUE, "Wellness housing (alcohol/drug/smoke-free)|", $D$57=FALSE, "")</f>
        <v>Wellness housing (alcohol/drug/smoke-free)|</v>
      </c>
    </row>
    <row r="58" spans="1:12" ht="16" customHeight="1" x14ac:dyDescent="0.25">
      <c r="A58" s="60"/>
      <c r="B58" s="57" t="s">
        <v>628</v>
      </c>
      <c r="C58" s="157"/>
      <c r="D58" s="268" t="b">
        <v>0</v>
      </c>
      <c r="E58" s="170"/>
      <c r="L58" s="170" t="str" cm="1">
        <f t="array" ref="L58">_xlfn.IFS($D$58=TRUE, "Other|", $D$58=FALSE, "")</f>
        <v/>
      </c>
    </row>
    <row r="59" spans="1:12" ht="14" customHeight="1" x14ac:dyDescent="0.25">
      <c r="A59" s="3"/>
      <c r="B59" s="5"/>
      <c r="C59" s="12"/>
      <c r="D59" s="169"/>
    </row>
    <row r="60" spans="1:12" ht="14" customHeight="1" x14ac:dyDescent="0.25">
      <c r="A60" s="3"/>
      <c r="B60" s="270"/>
      <c r="C60" s="271"/>
      <c r="D60" s="252"/>
      <c r="E60" s="221"/>
      <c r="F60" s="221"/>
      <c r="G60" s="221"/>
    </row>
    <row r="61" spans="1:12" ht="14" customHeight="1" x14ac:dyDescent="0.25">
      <c r="A61" s="3"/>
      <c r="B61" s="270"/>
      <c r="C61" s="271"/>
      <c r="D61" s="252"/>
      <c r="E61" s="221"/>
      <c r="F61" s="221"/>
      <c r="G61" s="221"/>
    </row>
    <row r="62" spans="1:12" ht="14" customHeight="1" x14ac:dyDescent="0.25">
      <c r="A62" s="3"/>
      <c r="B62" s="270"/>
      <c r="C62" s="271"/>
      <c r="D62" s="252"/>
      <c r="E62" s="221"/>
      <c r="F62" s="221"/>
      <c r="G62" s="221"/>
    </row>
    <row r="63" spans="1:12" ht="14" customHeight="1" x14ac:dyDescent="0.25">
      <c r="A63" s="3"/>
      <c r="B63" s="270"/>
      <c r="C63" s="271"/>
      <c r="D63" s="252"/>
      <c r="E63" s="221"/>
      <c r="F63" s="221"/>
      <c r="G63" s="221"/>
    </row>
    <row r="64" spans="1:12" ht="14" customHeight="1" x14ac:dyDescent="0.25">
      <c r="A64" s="3"/>
      <c r="B64" s="270"/>
      <c r="C64" s="271"/>
      <c r="D64" s="252"/>
      <c r="E64" s="221"/>
      <c r="F64" s="221"/>
      <c r="G64" s="221"/>
    </row>
    <row r="65" spans="1:3" ht="13" customHeight="1" x14ac:dyDescent="0.25">
      <c r="A65" s="3"/>
      <c r="B65" s="703"/>
      <c r="C65" s="703"/>
    </row>
    <row r="66" spans="1:3" ht="4.5" hidden="1" customHeight="1" x14ac:dyDescent="0.25"/>
  </sheetData>
  <sheetProtection algorithmName="SHA-512" hashValue="IejrEihvJUB0mNX2IGCccQwe6HK5cuj1X4hK6fwrYa0xzGgAg04JR3hB+0khNk+9B0s1AZdnkVHscfC5vxE93Q==" saltValue="Q3WgR74KB/e8AZ2RyB5/9w==" spinCount="100000" sheet="1" objects="1" scenarios="1"/>
  <mergeCells count="19">
    <mergeCell ref="F39:G39"/>
    <mergeCell ref="B38:F38"/>
    <mergeCell ref="B14:F14"/>
    <mergeCell ref="A1:F1"/>
    <mergeCell ref="B3:F3"/>
    <mergeCell ref="B4:D4"/>
    <mergeCell ref="B5:D5"/>
    <mergeCell ref="B6:D6"/>
    <mergeCell ref="B7:D7"/>
    <mergeCell ref="B8:D8"/>
    <mergeCell ref="B9:D9"/>
    <mergeCell ref="B10:D10"/>
    <mergeCell ref="B11:D11"/>
    <mergeCell ref="B12:D12"/>
    <mergeCell ref="F40:G40"/>
    <mergeCell ref="B65:C65"/>
    <mergeCell ref="F41:G41"/>
    <mergeCell ref="F42:G42"/>
    <mergeCell ref="B44:F44"/>
  </mergeCells>
  <dataValidations count="1">
    <dataValidation type="decimal" allowBlank="1" showInputMessage="1" showErrorMessage="1" sqref="F4" xr:uid="{7C4003F1-21C1-4283-A23D-13B8D633F718}">
      <formula1>0</formula1>
      <formula2>100</formula2>
    </dataValidation>
  </dataValidations>
  <pageMargins left="0.75" right="0.75" top="1" bottom="1" header="0.5" footer="0.5"/>
  <pageSetup scale="75" orientation="portrait" r:id="rId1"/>
  <headerFooter alignWithMargins="0">
    <oddHeader>&amp;LCommon Data Set 2021-2022</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0</xdr:col>
                    <xdr:colOff>0</xdr:colOff>
                    <xdr:row>15</xdr:row>
                    <xdr:rowOff>12700</xdr:rowOff>
                  </from>
                  <to>
                    <xdr:col>1</xdr:col>
                    <xdr:colOff>12700</xdr:colOff>
                    <xdr:row>16</xdr:row>
                    <xdr:rowOff>12700</xdr:rowOff>
                  </to>
                </anchor>
              </controlPr>
            </control>
          </mc:Choice>
        </mc:AlternateContent>
        <mc:AlternateContent xmlns:mc="http://schemas.openxmlformats.org/markup-compatibility/2006">
          <mc:Choice Requires="x14">
            <control shapeId="17410" r:id="rId5" name="Check Box 2">
              <controlPr defaultSize="0" autoFill="0" autoLine="0" autoPict="0" altText="Choral groups">
                <anchor moveWithCells="1">
                  <from>
                    <xdr:col>0</xdr:col>
                    <xdr:colOff>0</xdr:colOff>
                    <xdr:row>16</xdr:row>
                    <xdr:rowOff>25400</xdr:rowOff>
                  </from>
                  <to>
                    <xdr:col>0</xdr:col>
                    <xdr:colOff>228600</xdr:colOff>
                    <xdr:row>16</xdr:row>
                    <xdr:rowOff>190500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0</xdr:col>
                    <xdr:colOff>0</xdr:colOff>
                    <xdr:row>17</xdr:row>
                    <xdr:rowOff>12700</xdr:rowOff>
                  </from>
                  <to>
                    <xdr:col>1</xdr:col>
                    <xdr:colOff>12700</xdr:colOff>
                    <xdr:row>18</xdr:row>
                    <xdr:rowOff>12700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0</xdr:col>
                    <xdr:colOff>0</xdr:colOff>
                    <xdr:row>18</xdr:row>
                    <xdr:rowOff>12700</xdr:rowOff>
                  </from>
                  <to>
                    <xdr:col>1</xdr:col>
                    <xdr:colOff>0</xdr:colOff>
                    <xdr:row>19</xdr:row>
                    <xdr:rowOff>12700</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0</xdr:col>
                    <xdr:colOff>0</xdr:colOff>
                    <xdr:row>19</xdr:row>
                    <xdr:rowOff>25400</xdr:rowOff>
                  </from>
                  <to>
                    <xdr:col>1</xdr:col>
                    <xdr:colOff>0</xdr:colOff>
                    <xdr:row>19</xdr:row>
                    <xdr:rowOff>190500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0</xdr:col>
                    <xdr:colOff>0</xdr:colOff>
                    <xdr:row>20</xdr:row>
                    <xdr:rowOff>25400</xdr:rowOff>
                  </from>
                  <to>
                    <xdr:col>1</xdr:col>
                    <xdr:colOff>0</xdr:colOff>
                    <xdr:row>20</xdr:row>
                    <xdr:rowOff>203200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0</xdr:col>
                    <xdr:colOff>0</xdr:colOff>
                    <xdr:row>21</xdr:row>
                    <xdr:rowOff>25400</xdr:rowOff>
                  </from>
                  <to>
                    <xdr:col>1</xdr:col>
                    <xdr:colOff>12700</xdr:colOff>
                    <xdr:row>22</xdr:row>
                    <xdr:rowOff>12700</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0</xdr:col>
                    <xdr:colOff>0</xdr:colOff>
                    <xdr:row>22</xdr:row>
                    <xdr:rowOff>25400</xdr:rowOff>
                  </from>
                  <to>
                    <xdr:col>0</xdr:col>
                    <xdr:colOff>228600</xdr:colOff>
                    <xdr:row>23</xdr:row>
                    <xdr:rowOff>12700</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0</xdr:col>
                    <xdr:colOff>0</xdr:colOff>
                    <xdr:row>23</xdr:row>
                    <xdr:rowOff>25400</xdr:rowOff>
                  </from>
                  <to>
                    <xdr:col>1</xdr:col>
                    <xdr:colOff>12700</xdr:colOff>
                    <xdr:row>24</xdr:row>
                    <xdr:rowOff>12700</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0</xdr:col>
                    <xdr:colOff>0</xdr:colOff>
                    <xdr:row>24</xdr:row>
                    <xdr:rowOff>25400</xdr:rowOff>
                  </from>
                  <to>
                    <xdr:col>1</xdr:col>
                    <xdr:colOff>0</xdr:colOff>
                    <xdr:row>24</xdr:row>
                    <xdr:rowOff>203200</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0</xdr:col>
                    <xdr:colOff>0</xdr:colOff>
                    <xdr:row>25</xdr:row>
                    <xdr:rowOff>12700</xdr:rowOff>
                  </from>
                  <to>
                    <xdr:col>0</xdr:col>
                    <xdr:colOff>241300</xdr:colOff>
                    <xdr:row>26</xdr:row>
                    <xdr:rowOff>12700</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0</xdr:col>
                    <xdr:colOff>0</xdr:colOff>
                    <xdr:row>26</xdr:row>
                    <xdr:rowOff>25400</xdr:rowOff>
                  </from>
                  <to>
                    <xdr:col>1</xdr:col>
                    <xdr:colOff>0</xdr:colOff>
                    <xdr:row>27</xdr:row>
                    <xdr:rowOff>12700</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0</xdr:col>
                    <xdr:colOff>0</xdr:colOff>
                    <xdr:row>27</xdr:row>
                    <xdr:rowOff>12700</xdr:rowOff>
                  </from>
                  <to>
                    <xdr:col>1</xdr:col>
                    <xdr:colOff>12700</xdr:colOff>
                    <xdr:row>28</xdr:row>
                    <xdr:rowOff>12700</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0</xdr:col>
                    <xdr:colOff>0</xdr:colOff>
                    <xdr:row>28</xdr:row>
                    <xdr:rowOff>12700</xdr:rowOff>
                  </from>
                  <to>
                    <xdr:col>1</xdr:col>
                    <xdr:colOff>12700</xdr:colOff>
                    <xdr:row>29</xdr:row>
                    <xdr:rowOff>12700</xdr:rowOff>
                  </to>
                </anchor>
              </controlPr>
            </control>
          </mc:Choice>
        </mc:AlternateContent>
        <mc:AlternateContent xmlns:mc="http://schemas.openxmlformats.org/markup-compatibility/2006">
          <mc:Choice Requires="x14">
            <control shapeId="17423" r:id="rId18" name="Check Box 15">
              <controlPr defaultSize="0" autoFill="0" autoLine="0" autoPict="0">
                <anchor moveWithCells="1">
                  <from>
                    <xdr:col>0</xdr:col>
                    <xdr:colOff>0</xdr:colOff>
                    <xdr:row>29</xdr:row>
                    <xdr:rowOff>12700</xdr:rowOff>
                  </from>
                  <to>
                    <xdr:col>1</xdr:col>
                    <xdr:colOff>0</xdr:colOff>
                    <xdr:row>30</xdr:row>
                    <xdr:rowOff>12700</xdr:rowOff>
                  </to>
                </anchor>
              </controlPr>
            </control>
          </mc:Choice>
        </mc:AlternateContent>
        <mc:AlternateContent xmlns:mc="http://schemas.openxmlformats.org/markup-compatibility/2006">
          <mc:Choice Requires="x14">
            <control shapeId="17424" r:id="rId19" name="Check Box 16">
              <controlPr defaultSize="0" autoFill="0" autoLine="0" autoPict="0">
                <anchor moveWithCells="1">
                  <from>
                    <xdr:col>0</xdr:col>
                    <xdr:colOff>0</xdr:colOff>
                    <xdr:row>30</xdr:row>
                    <xdr:rowOff>12700</xdr:rowOff>
                  </from>
                  <to>
                    <xdr:col>0</xdr:col>
                    <xdr:colOff>228600</xdr:colOff>
                    <xdr:row>30</xdr:row>
                    <xdr:rowOff>203200</xdr:rowOff>
                  </to>
                </anchor>
              </controlPr>
            </control>
          </mc:Choice>
        </mc:AlternateContent>
        <mc:AlternateContent xmlns:mc="http://schemas.openxmlformats.org/markup-compatibility/2006">
          <mc:Choice Requires="x14">
            <control shapeId="17425" r:id="rId20" name="Check Box 17">
              <controlPr defaultSize="0" autoFill="0" autoLine="0" autoPict="0">
                <anchor moveWithCells="1">
                  <from>
                    <xdr:col>0</xdr:col>
                    <xdr:colOff>0</xdr:colOff>
                    <xdr:row>31</xdr:row>
                    <xdr:rowOff>0</xdr:rowOff>
                  </from>
                  <to>
                    <xdr:col>0</xdr:col>
                    <xdr:colOff>228600</xdr:colOff>
                    <xdr:row>32</xdr:row>
                    <xdr:rowOff>12700</xdr:rowOff>
                  </to>
                </anchor>
              </controlPr>
            </control>
          </mc:Choice>
        </mc:AlternateContent>
        <mc:AlternateContent xmlns:mc="http://schemas.openxmlformats.org/markup-compatibility/2006">
          <mc:Choice Requires="x14">
            <control shapeId="17426" r:id="rId21" name="Check Box 18">
              <controlPr defaultSize="0" autoFill="0" autoLine="0" autoPict="0">
                <anchor moveWithCells="1">
                  <from>
                    <xdr:col>0</xdr:col>
                    <xdr:colOff>0</xdr:colOff>
                    <xdr:row>32</xdr:row>
                    <xdr:rowOff>25400</xdr:rowOff>
                  </from>
                  <to>
                    <xdr:col>1</xdr:col>
                    <xdr:colOff>0</xdr:colOff>
                    <xdr:row>33</xdr:row>
                    <xdr:rowOff>12700</xdr:rowOff>
                  </to>
                </anchor>
              </controlPr>
            </control>
          </mc:Choice>
        </mc:AlternateContent>
        <mc:AlternateContent xmlns:mc="http://schemas.openxmlformats.org/markup-compatibility/2006">
          <mc:Choice Requires="x14">
            <control shapeId="17427" r:id="rId22" name="Check Box 19">
              <controlPr defaultSize="0" autoFill="0" autoLine="0" autoPict="0">
                <anchor moveWithCells="1">
                  <from>
                    <xdr:col>0</xdr:col>
                    <xdr:colOff>0</xdr:colOff>
                    <xdr:row>33</xdr:row>
                    <xdr:rowOff>25400</xdr:rowOff>
                  </from>
                  <to>
                    <xdr:col>1</xdr:col>
                    <xdr:colOff>0</xdr:colOff>
                    <xdr:row>33</xdr:row>
                    <xdr:rowOff>203200</xdr:rowOff>
                  </to>
                </anchor>
              </controlPr>
            </control>
          </mc:Choice>
        </mc:AlternateContent>
        <mc:AlternateContent xmlns:mc="http://schemas.openxmlformats.org/markup-compatibility/2006">
          <mc:Choice Requires="x14">
            <control shapeId="17428" r:id="rId23" name="Check Box 20">
              <controlPr defaultSize="0" autoFill="0" autoLine="0" autoPict="0">
                <anchor moveWithCells="1">
                  <from>
                    <xdr:col>0</xdr:col>
                    <xdr:colOff>0</xdr:colOff>
                    <xdr:row>34</xdr:row>
                    <xdr:rowOff>12700</xdr:rowOff>
                  </from>
                  <to>
                    <xdr:col>1</xdr:col>
                    <xdr:colOff>12700</xdr:colOff>
                    <xdr:row>35</xdr:row>
                    <xdr:rowOff>12700</xdr:rowOff>
                  </to>
                </anchor>
              </controlPr>
            </control>
          </mc:Choice>
        </mc:AlternateContent>
        <mc:AlternateContent xmlns:mc="http://schemas.openxmlformats.org/markup-compatibility/2006">
          <mc:Choice Requires="x14">
            <control shapeId="17429" r:id="rId24" name="Check Box 21">
              <controlPr defaultSize="0" autoFill="0" autoLine="0" autoPict="0">
                <anchor moveWithCells="1">
                  <from>
                    <xdr:col>0</xdr:col>
                    <xdr:colOff>0</xdr:colOff>
                    <xdr:row>35</xdr:row>
                    <xdr:rowOff>12700</xdr:rowOff>
                  </from>
                  <to>
                    <xdr:col>1</xdr:col>
                    <xdr:colOff>12700</xdr:colOff>
                    <xdr:row>36</xdr:row>
                    <xdr:rowOff>12700</xdr:rowOff>
                  </to>
                </anchor>
              </controlPr>
            </control>
          </mc:Choice>
        </mc:AlternateContent>
        <mc:AlternateContent xmlns:mc="http://schemas.openxmlformats.org/markup-compatibility/2006">
          <mc:Choice Requires="x14">
            <control shapeId="17430" r:id="rId25" name="Check Box 22">
              <controlPr defaultSize="0" autoFill="0" autoLine="0" autoPict="0">
                <anchor moveWithCells="1">
                  <from>
                    <xdr:col>3</xdr:col>
                    <xdr:colOff>241300</xdr:colOff>
                    <xdr:row>39</xdr:row>
                    <xdr:rowOff>12700</xdr:rowOff>
                  </from>
                  <to>
                    <xdr:col>3</xdr:col>
                    <xdr:colOff>495300</xdr:colOff>
                    <xdr:row>39</xdr:row>
                    <xdr:rowOff>152400</xdr:rowOff>
                  </to>
                </anchor>
              </controlPr>
            </control>
          </mc:Choice>
        </mc:AlternateContent>
        <mc:AlternateContent xmlns:mc="http://schemas.openxmlformats.org/markup-compatibility/2006">
          <mc:Choice Requires="x14">
            <control shapeId="17431" r:id="rId26" name="Check Box 23">
              <controlPr defaultSize="0" autoFill="0" autoLine="0" autoPict="0">
                <anchor moveWithCells="1">
                  <from>
                    <xdr:col>3</xdr:col>
                    <xdr:colOff>241300</xdr:colOff>
                    <xdr:row>40</xdr:row>
                    <xdr:rowOff>0</xdr:rowOff>
                  </from>
                  <to>
                    <xdr:col>3</xdr:col>
                    <xdr:colOff>482600</xdr:colOff>
                    <xdr:row>40</xdr:row>
                    <xdr:rowOff>152400</xdr:rowOff>
                  </to>
                </anchor>
              </controlPr>
            </control>
          </mc:Choice>
        </mc:AlternateContent>
        <mc:AlternateContent xmlns:mc="http://schemas.openxmlformats.org/markup-compatibility/2006">
          <mc:Choice Requires="x14">
            <control shapeId="17432" r:id="rId27" name="Check Box 24">
              <controlPr defaultSize="0" autoFill="0" autoLine="0" autoPict="0">
                <anchor moveWithCells="1">
                  <from>
                    <xdr:col>3</xdr:col>
                    <xdr:colOff>241300</xdr:colOff>
                    <xdr:row>41</xdr:row>
                    <xdr:rowOff>0</xdr:rowOff>
                  </from>
                  <to>
                    <xdr:col>3</xdr:col>
                    <xdr:colOff>495300</xdr:colOff>
                    <xdr:row>42</xdr:row>
                    <xdr:rowOff>12700</xdr:rowOff>
                  </to>
                </anchor>
              </controlPr>
            </control>
          </mc:Choice>
        </mc:AlternateContent>
        <mc:AlternateContent xmlns:mc="http://schemas.openxmlformats.org/markup-compatibility/2006">
          <mc:Choice Requires="x14">
            <control shapeId="17433" r:id="rId28" name="Check Box 25">
              <controlPr defaultSize="0" autoFill="0" autoLine="0" autoPict="0">
                <anchor moveWithCells="1">
                  <from>
                    <xdr:col>4</xdr:col>
                    <xdr:colOff>368300</xdr:colOff>
                    <xdr:row>39</xdr:row>
                    <xdr:rowOff>25400</xdr:rowOff>
                  </from>
                  <to>
                    <xdr:col>4</xdr:col>
                    <xdr:colOff>622300</xdr:colOff>
                    <xdr:row>40</xdr:row>
                    <xdr:rowOff>0</xdr:rowOff>
                  </to>
                </anchor>
              </controlPr>
            </control>
          </mc:Choice>
        </mc:AlternateContent>
        <mc:AlternateContent xmlns:mc="http://schemas.openxmlformats.org/markup-compatibility/2006">
          <mc:Choice Requires="x14">
            <control shapeId="17434" r:id="rId29" name="Check Box 26">
              <controlPr defaultSize="0" autoFill="0" autoLine="0" autoPict="0">
                <anchor moveWithCells="1">
                  <from>
                    <xdr:col>4</xdr:col>
                    <xdr:colOff>368300</xdr:colOff>
                    <xdr:row>40</xdr:row>
                    <xdr:rowOff>12700</xdr:rowOff>
                  </from>
                  <to>
                    <xdr:col>4</xdr:col>
                    <xdr:colOff>660400</xdr:colOff>
                    <xdr:row>41</xdr:row>
                    <xdr:rowOff>25400</xdr:rowOff>
                  </to>
                </anchor>
              </controlPr>
            </control>
          </mc:Choice>
        </mc:AlternateContent>
        <mc:AlternateContent xmlns:mc="http://schemas.openxmlformats.org/markup-compatibility/2006">
          <mc:Choice Requires="x14">
            <control shapeId="17435" r:id="rId30" name="Check Box 27">
              <controlPr defaultSize="0" autoFill="0" autoLine="0" autoPict="0">
                <anchor moveWithCells="1">
                  <from>
                    <xdr:col>4</xdr:col>
                    <xdr:colOff>368300</xdr:colOff>
                    <xdr:row>41</xdr:row>
                    <xdr:rowOff>12700</xdr:rowOff>
                  </from>
                  <to>
                    <xdr:col>4</xdr:col>
                    <xdr:colOff>622300</xdr:colOff>
                    <xdr:row>41</xdr:row>
                    <xdr:rowOff>152400</xdr:rowOff>
                  </to>
                </anchor>
              </controlPr>
            </control>
          </mc:Choice>
        </mc:AlternateContent>
        <mc:AlternateContent xmlns:mc="http://schemas.openxmlformats.org/markup-compatibility/2006">
          <mc:Choice Requires="x14">
            <control shapeId="17437" r:id="rId31" name="Check Box 29">
              <controlPr defaultSize="0" autoFill="0" autoLine="0" autoPict="0">
                <anchor moveWithCells="1">
                  <from>
                    <xdr:col>0</xdr:col>
                    <xdr:colOff>0</xdr:colOff>
                    <xdr:row>45</xdr:row>
                    <xdr:rowOff>12700</xdr:rowOff>
                  </from>
                  <to>
                    <xdr:col>1</xdr:col>
                    <xdr:colOff>0</xdr:colOff>
                    <xdr:row>46</xdr:row>
                    <xdr:rowOff>25400</xdr:rowOff>
                  </to>
                </anchor>
              </controlPr>
            </control>
          </mc:Choice>
        </mc:AlternateContent>
        <mc:AlternateContent xmlns:mc="http://schemas.openxmlformats.org/markup-compatibility/2006">
          <mc:Choice Requires="x14">
            <control shapeId="17438" r:id="rId32" name="Check Box 30">
              <controlPr defaultSize="0" autoFill="0" autoLine="0" autoPict="0">
                <anchor moveWithCells="1">
                  <from>
                    <xdr:col>0</xdr:col>
                    <xdr:colOff>0</xdr:colOff>
                    <xdr:row>46</xdr:row>
                    <xdr:rowOff>12700</xdr:rowOff>
                  </from>
                  <to>
                    <xdr:col>0</xdr:col>
                    <xdr:colOff>228600</xdr:colOff>
                    <xdr:row>47</xdr:row>
                    <xdr:rowOff>12700</xdr:rowOff>
                  </to>
                </anchor>
              </controlPr>
            </control>
          </mc:Choice>
        </mc:AlternateContent>
        <mc:AlternateContent xmlns:mc="http://schemas.openxmlformats.org/markup-compatibility/2006">
          <mc:Choice Requires="x14">
            <control shapeId="17439" r:id="rId33" name="Check Box 31">
              <controlPr defaultSize="0" autoFill="0" autoLine="0" autoPict="0">
                <anchor moveWithCells="1">
                  <from>
                    <xdr:col>0</xdr:col>
                    <xdr:colOff>0</xdr:colOff>
                    <xdr:row>47</xdr:row>
                    <xdr:rowOff>12700</xdr:rowOff>
                  </from>
                  <to>
                    <xdr:col>1</xdr:col>
                    <xdr:colOff>0</xdr:colOff>
                    <xdr:row>47</xdr:row>
                    <xdr:rowOff>190500</xdr:rowOff>
                  </to>
                </anchor>
              </controlPr>
            </control>
          </mc:Choice>
        </mc:AlternateContent>
        <mc:AlternateContent xmlns:mc="http://schemas.openxmlformats.org/markup-compatibility/2006">
          <mc:Choice Requires="x14">
            <control shapeId="17440" r:id="rId34" name="Check Box 32">
              <controlPr defaultSize="0" autoFill="0" autoLine="0" autoPict="0">
                <anchor moveWithCells="1">
                  <from>
                    <xdr:col>0</xdr:col>
                    <xdr:colOff>0</xdr:colOff>
                    <xdr:row>48</xdr:row>
                    <xdr:rowOff>12700</xdr:rowOff>
                  </from>
                  <to>
                    <xdr:col>1</xdr:col>
                    <xdr:colOff>0</xdr:colOff>
                    <xdr:row>49</xdr:row>
                    <xdr:rowOff>12700</xdr:rowOff>
                  </to>
                </anchor>
              </controlPr>
            </control>
          </mc:Choice>
        </mc:AlternateContent>
        <mc:AlternateContent xmlns:mc="http://schemas.openxmlformats.org/markup-compatibility/2006">
          <mc:Choice Requires="x14">
            <control shapeId="17441" r:id="rId35" name="Check Box 33">
              <controlPr defaultSize="0" autoFill="0" autoLine="0" autoPict="0">
                <anchor moveWithCells="1">
                  <from>
                    <xdr:col>0</xdr:col>
                    <xdr:colOff>0</xdr:colOff>
                    <xdr:row>48</xdr:row>
                    <xdr:rowOff>190500</xdr:rowOff>
                  </from>
                  <to>
                    <xdr:col>0</xdr:col>
                    <xdr:colOff>228600</xdr:colOff>
                    <xdr:row>50</xdr:row>
                    <xdr:rowOff>12700</xdr:rowOff>
                  </to>
                </anchor>
              </controlPr>
            </control>
          </mc:Choice>
        </mc:AlternateContent>
        <mc:AlternateContent xmlns:mc="http://schemas.openxmlformats.org/markup-compatibility/2006">
          <mc:Choice Requires="x14">
            <control shapeId="17442" r:id="rId36" name="Check Box 34">
              <controlPr defaultSize="0" autoFill="0" autoLine="0" autoPict="0">
                <anchor moveWithCells="1">
                  <from>
                    <xdr:col>0</xdr:col>
                    <xdr:colOff>0</xdr:colOff>
                    <xdr:row>50</xdr:row>
                    <xdr:rowOff>0</xdr:rowOff>
                  </from>
                  <to>
                    <xdr:col>1</xdr:col>
                    <xdr:colOff>12700</xdr:colOff>
                    <xdr:row>51</xdr:row>
                    <xdr:rowOff>12700</xdr:rowOff>
                  </to>
                </anchor>
              </controlPr>
            </control>
          </mc:Choice>
        </mc:AlternateContent>
        <mc:AlternateContent xmlns:mc="http://schemas.openxmlformats.org/markup-compatibility/2006">
          <mc:Choice Requires="x14">
            <control shapeId="17443" r:id="rId37" name="Check Box 35">
              <controlPr defaultSize="0" autoFill="0" autoLine="0" autoPict="0">
                <anchor moveWithCells="1">
                  <from>
                    <xdr:col>0</xdr:col>
                    <xdr:colOff>0</xdr:colOff>
                    <xdr:row>50</xdr:row>
                    <xdr:rowOff>190500</xdr:rowOff>
                  </from>
                  <to>
                    <xdr:col>1</xdr:col>
                    <xdr:colOff>0</xdr:colOff>
                    <xdr:row>52</xdr:row>
                    <xdr:rowOff>0</xdr:rowOff>
                  </to>
                </anchor>
              </controlPr>
            </control>
          </mc:Choice>
        </mc:AlternateContent>
        <mc:AlternateContent xmlns:mc="http://schemas.openxmlformats.org/markup-compatibility/2006">
          <mc:Choice Requires="x14">
            <control shapeId="17444" r:id="rId38" name="Check Box 36">
              <controlPr defaultSize="0" autoFill="0" autoLine="0" autoPict="0">
                <anchor moveWithCells="1">
                  <from>
                    <xdr:col>0</xdr:col>
                    <xdr:colOff>0</xdr:colOff>
                    <xdr:row>51</xdr:row>
                    <xdr:rowOff>203200</xdr:rowOff>
                  </from>
                  <to>
                    <xdr:col>1</xdr:col>
                    <xdr:colOff>0</xdr:colOff>
                    <xdr:row>53</xdr:row>
                    <xdr:rowOff>12700</xdr:rowOff>
                  </to>
                </anchor>
              </controlPr>
            </control>
          </mc:Choice>
        </mc:AlternateContent>
        <mc:AlternateContent xmlns:mc="http://schemas.openxmlformats.org/markup-compatibility/2006">
          <mc:Choice Requires="x14">
            <control shapeId="17445" r:id="rId39" name="Check Box 37">
              <controlPr defaultSize="0" autoFill="0" autoLine="0" autoPict="0">
                <anchor moveWithCells="1">
                  <from>
                    <xdr:col>0</xdr:col>
                    <xdr:colOff>0</xdr:colOff>
                    <xdr:row>54</xdr:row>
                    <xdr:rowOff>12700</xdr:rowOff>
                  </from>
                  <to>
                    <xdr:col>1</xdr:col>
                    <xdr:colOff>0</xdr:colOff>
                    <xdr:row>55</xdr:row>
                    <xdr:rowOff>12700</xdr:rowOff>
                  </to>
                </anchor>
              </controlPr>
            </control>
          </mc:Choice>
        </mc:AlternateContent>
        <mc:AlternateContent xmlns:mc="http://schemas.openxmlformats.org/markup-compatibility/2006">
          <mc:Choice Requires="x14">
            <control shapeId="17446" r:id="rId40" name="Check Box 38">
              <controlPr defaultSize="0" autoFill="0" autoLine="0" autoPict="0">
                <anchor moveWithCells="1">
                  <from>
                    <xdr:col>0</xdr:col>
                    <xdr:colOff>0</xdr:colOff>
                    <xdr:row>54</xdr:row>
                    <xdr:rowOff>190500</xdr:rowOff>
                  </from>
                  <to>
                    <xdr:col>0</xdr:col>
                    <xdr:colOff>228600</xdr:colOff>
                    <xdr:row>56</xdr:row>
                    <xdr:rowOff>12700</xdr:rowOff>
                  </to>
                </anchor>
              </controlPr>
            </control>
          </mc:Choice>
        </mc:AlternateContent>
        <mc:AlternateContent xmlns:mc="http://schemas.openxmlformats.org/markup-compatibility/2006">
          <mc:Choice Requires="x14">
            <control shapeId="17447" r:id="rId41" name="Check Box 39">
              <controlPr defaultSize="0" autoFill="0" autoLine="0" autoPict="0">
                <anchor moveWithCells="1">
                  <from>
                    <xdr:col>0</xdr:col>
                    <xdr:colOff>0</xdr:colOff>
                    <xdr:row>56</xdr:row>
                    <xdr:rowOff>12700</xdr:rowOff>
                  </from>
                  <to>
                    <xdr:col>0</xdr:col>
                    <xdr:colOff>228600</xdr:colOff>
                    <xdr:row>57</xdr:row>
                    <xdr:rowOff>12700</xdr:rowOff>
                  </to>
                </anchor>
              </controlPr>
            </control>
          </mc:Choice>
        </mc:AlternateContent>
        <mc:AlternateContent xmlns:mc="http://schemas.openxmlformats.org/markup-compatibility/2006">
          <mc:Choice Requires="x14">
            <control shapeId="17448" r:id="rId42" name="Check Box 40">
              <controlPr defaultSize="0" autoFill="0" autoLine="0" autoPict="0">
                <anchor moveWithCells="1">
                  <from>
                    <xdr:col>0</xdr:col>
                    <xdr:colOff>0</xdr:colOff>
                    <xdr:row>57</xdr:row>
                    <xdr:rowOff>12700</xdr:rowOff>
                  </from>
                  <to>
                    <xdr:col>1</xdr:col>
                    <xdr:colOff>12700</xdr:colOff>
                    <xdr:row>58</xdr:row>
                    <xdr:rowOff>0</xdr:rowOff>
                  </to>
                </anchor>
              </controlPr>
            </control>
          </mc:Choice>
        </mc:AlternateContent>
        <mc:AlternateContent xmlns:mc="http://schemas.openxmlformats.org/markup-compatibility/2006">
          <mc:Choice Requires="x14">
            <control shapeId="17449" r:id="rId43" name="Check Box 41">
              <controlPr defaultSize="0" autoFill="0" autoLine="0" autoPict="0">
                <anchor moveWithCells="1">
                  <from>
                    <xdr:col>2</xdr:col>
                    <xdr:colOff>279400</xdr:colOff>
                    <xdr:row>40</xdr:row>
                    <xdr:rowOff>0</xdr:rowOff>
                  </from>
                  <to>
                    <xdr:col>2</xdr:col>
                    <xdr:colOff>571500</xdr:colOff>
                    <xdr:row>40</xdr:row>
                    <xdr:rowOff>152400</xdr:rowOff>
                  </to>
                </anchor>
              </controlPr>
            </control>
          </mc:Choice>
        </mc:AlternateContent>
        <mc:AlternateContent xmlns:mc="http://schemas.openxmlformats.org/markup-compatibility/2006">
          <mc:Choice Requires="x14">
            <control shapeId="17450" r:id="rId44" name="Check Box 42">
              <controlPr defaultSize="0" autoFill="0" autoLine="0" autoPict="0">
                <anchor moveWithCells="1">
                  <from>
                    <xdr:col>0</xdr:col>
                    <xdr:colOff>0</xdr:colOff>
                    <xdr:row>53</xdr:row>
                    <xdr:rowOff>0</xdr:rowOff>
                  </from>
                  <to>
                    <xdr:col>1</xdr:col>
                    <xdr:colOff>76200</xdr:colOff>
                    <xdr:row>54</xdr:row>
                    <xdr:rowOff>25400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03F7-A4FD-344D-81A7-BFD8CE3C2E5E}">
  <dimension ref="A1:U77"/>
  <sheetViews>
    <sheetView showGridLines="0" showRowColHeaders="0" showRuler="0" topLeftCell="A54" zoomScale="120" zoomScaleNormal="120" workbookViewId="0">
      <selection activeCell="B14" sqref="B14:E14"/>
    </sheetView>
  </sheetViews>
  <sheetFormatPr defaultColWidth="0" defaultRowHeight="0" customHeight="1" zeroHeight="1" x14ac:dyDescent="0.25"/>
  <cols>
    <col min="1" max="1" width="5" style="2" customWidth="1"/>
    <col min="2" max="2" width="31.6640625" style="1" customWidth="1"/>
    <col min="3" max="4" width="18.6640625" style="1" customWidth="1"/>
    <col min="5" max="5" width="19.1640625" style="1" customWidth="1"/>
    <col min="6" max="6" width="18.5" style="1" hidden="1" customWidth="1"/>
    <col min="7" max="7" width="9.33203125" style="1" hidden="1" customWidth="1"/>
    <col min="8" max="21" width="8.6640625" style="1" hidden="1" customWidth="1"/>
    <col min="22" max="16380" width="8.6640625" style="1" customWidth="1"/>
    <col min="16381" max="16381" width="0.1640625" style="1" customWidth="1"/>
    <col min="16382" max="16382" width="6.1640625" style="1" customWidth="1"/>
    <col min="16383" max="16383" width="23.1640625" style="1" customWidth="1"/>
    <col min="16384" max="16384" width="29" style="1" customWidth="1"/>
  </cols>
  <sheetData>
    <row r="1" spans="1:6" ht="18" x14ac:dyDescent="0.25">
      <c r="A1" s="548" t="s">
        <v>428</v>
      </c>
      <c r="B1" s="548"/>
      <c r="C1" s="548"/>
      <c r="D1" s="548"/>
      <c r="E1" s="548"/>
    </row>
    <row r="2" spans="1:6" ht="6.75" customHeight="1" x14ac:dyDescent="0.25">
      <c r="A2" s="137"/>
      <c r="B2" s="137"/>
      <c r="C2" s="137"/>
      <c r="D2" s="137"/>
      <c r="E2" s="137"/>
    </row>
    <row r="3" spans="1:6" ht="13" x14ac:dyDescent="0.25">
      <c r="A3" s="3" t="s">
        <v>427</v>
      </c>
      <c r="B3" s="71" t="s">
        <v>426</v>
      </c>
      <c r="C3" s="71"/>
      <c r="D3" s="71"/>
      <c r="E3" s="71"/>
    </row>
    <row r="4" spans="1:6" ht="23" customHeight="1" x14ac:dyDescent="0.25">
      <c r="B4" s="543" t="s">
        <v>1991</v>
      </c>
      <c r="C4" s="543"/>
      <c r="D4" s="543"/>
      <c r="E4" s="543"/>
    </row>
    <row r="5" spans="1:6" ht="12.5" x14ac:dyDescent="0.25">
      <c r="B5" s="48"/>
      <c r="C5" s="48"/>
      <c r="D5" s="48"/>
      <c r="E5" s="48"/>
    </row>
    <row r="6" spans="1:6" s="24" customFormat="1" ht="27.75" customHeight="1" x14ac:dyDescent="0.35">
      <c r="A6" s="2"/>
      <c r="B6" s="761" t="s">
        <v>1881</v>
      </c>
      <c r="C6" s="761"/>
      <c r="D6" s="761"/>
      <c r="E6" s="761"/>
    </row>
    <row r="7" spans="1:6" ht="14.25" customHeight="1" x14ac:dyDescent="0.25">
      <c r="B7" s="24"/>
      <c r="C7" s="24"/>
      <c r="D7" s="24"/>
      <c r="E7" s="24"/>
    </row>
    <row r="8" spans="1:6" s="167" customFormat="1" ht="12" customHeight="1" x14ac:dyDescent="0.35">
      <c r="A8" s="60"/>
      <c r="B8" s="755" t="s">
        <v>1882</v>
      </c>
      <c r="C8" s="755"/>
      <c r="D8" s="755"/>
      <c r="E8" s="755"/>
    </row>
    <row r="9" spans="1:6" s="167" customFormat="1" ht="13.5" customHeight="1" x14ac:dyDescent="0.35">
      <c r="A9" s="2"/>
      <c r="B9" s="755"/>
      <c r="C9" s="755"/>
      <c r="D9" s="755"/>
      <c r="E9" s="755"/>
    </row>
    <row r="10" spans="1:6" s="167" customFormat="1" ht="22" customHeight="1" x14ac:dyDescent="0.35">
      <c r="A10" s="2"/>
      <c r="B10" s="755"/>
      <c r="C10" s="755"/>
      <c r="D10" s="755"/>
      <c r="E10" s="755"/>
    </row>
    <row r="11" spans="1:6" ht="12.5" x14ac:dyDescent="0.25">
      <c r="B11" s="760" t="s">
        <v>1994</v>
      </c>
      <c r="C11" s="760"/>
      <c r="D11" s="760"/>
      <c r="E11" s="760"/>
      <c r="F11" s="255" t="b">
        <v>1</v>
      </c>
    </row>
    <row r="12" spans="1:6" ht="13" x14ac:dyDescent="0.25">
      <c r="A12" s="3"/>
      <c r="B12" s="3"/>
      <c r="C12" s="3"/>
      <c r="D12" s="3"/>
      <c r="E12" s="3"/>
    </row>
    <row r="13" spans="1:6" ht="14.25" customHeight="1" x14ac:dyDescent="0.25">
      <c r="A13" s="3" t="s">
        <v>421</v>
      </c>
      <c r="B13" s="752" t="s">
        <v>425</v>
      </c>
      <c r="C13" s="550"/>
      <c r="D13" s="550"/>
      <c r="E13" s="550"/>
    </row>
    <row r="14" spans="1:6" ht="39" customHeight="1" x14ac:dyDescent="0.25">
      <c r="A14" s="3"/>
      <c r="B14" s="753" t="s">
        <v>1883</v>
      </c>
      <c r="C14" s="753"/>
      <c r="D14" s="753"/>
      <c r="E14" s="753"/>
    </row>
    <row r="15" spans="1:6" s="752" customFormat="1" ht="28.5" customHeight="1" x14ac:dyDescent="0.35">
      <c r="A15" s="3"/>
    </row>
    <row r="16" spans="1:6" s="752" customFormat="1" ht="15" customHeight="1" x14ac:dyDescent="0.35">
      <c r="A16" s="3"/>
      <c r="B16" s="753" t="s">
        <v>424</v>
      </c>
    </row>
    <row r="17" spans="1:5" s="752" customFormat="1" ht="28.5" customHeight="1" x14ac:dyDescent="0.35">
      <c r="A17" s="3"/>
      <c r="B17" s="752" t="s">
        <v>423</v>
      </c>
    </row>
    <row r="18" spans="1:5" s="753" customFormat="1" ht="14.25" customHeight="1" x14ac:dyDescent="0.35">
      <c r="A18" s="3"/>
      <c r="B18" s="753" t="s">
        <v>422</v>
      </c>
    </row>
    <row r="19" spans="1:5" ht="9.75" customHeight="1" x14ac:dyDescent="0.25">
      <c r="A19" s="3"/>
      <c r="C19" s="47"/>
      <c r="D19" s="3"/>
      <c r="E19" s="3"/>
    </row>
    <row r="20" spans="1:5" ht="13" x14ac:dyDescent="0.3">
      <c r="A20" s="3" t="s">
        <v>421</v>
      </c>
      <c r="B20" s="63"/>
      <c r="C20" s="136" t="s">
        <v>420</v>
      </c>
      <c r="D20" s="136" t="s">
        <v>370</v>
      </c>
    </row>
    <row r="21" spans="1:5" ht="13" x14ac:dyDescent="0.3">
      <c r="A21" s="3"/>
      <c r="B21" s="17" t="s">
        <v>419</v>
      </c>
      <c r="C21" s="88"/>
      <c r="D21" s="88"/>
    </row>
    <row r="22" spans="1:5" ht="13" x14ac:dyDescent="0.25">
      <c r="A22" s="3"/>
      <c r="B22" s="133" t="s">
        <v>418</v>
      </c>
      <c r="C22" s="258">
        <v>48218</v>
      </c>
      <c r="D22" s="258">
        <v>48218</v>
      </c>
    </row>
    <row r="23" spans="1:5" ht="13" x14ac:dyDescent="0.25">
      <c r="A23" s="3"/>
      <c r="B23" s="135" t="s">
        <v>417</v>
      </c>
      <c r="C23" s="134"/>
      <c r="D23" s="134"/>
    </row>
    <row r="24" spans="1:5" ht="13" x14ac:dyDescent="0.25">
      <c r="A24" s="3"/>
      <c r="B24" s="133" t="s">
        <v>416</v>
      </c>
      <c r="C24" s="258">
        <v>0</v>
      </c>
      <c r="D24" s="258">
        <v>0</v>
      </c>
    </row>
    <row r="25" spans="1:5" ht="13" x14ac:dyDescent="0.25">
      <c r="A25" s="3"/>
      <c r="B25" s="133" t="s">
        <v>415</v>
      </c>
      <c r="C25" s="258">
        <v>0</v>
      </c>
      <c r="D25" s="258">
        <v>0</v>
      </c>
    </row>
    <row r="26" spans="1:5" ht="13" x14ac:dyDescent="0.25">
      <c r="A26" s="3"/>
      <c r="B26" s="133" t="s">
        <v>414</v>
      </c>
      <c r="C26" s="258">
        <v>0</v>
      </c>
      <c r="D26" s="258">
        <v>0</v>
      </c>
    </row>
    <row r="27" spans="1:5" ht="13" x14ac:dyDescent="0.25">
      <c r="A27" s="3"/>
      <c r="B27" s="129" t="s">
        <v>1908</v>
      </c>
      <c r="C27" s="258">
        <v>0</v>
      </c>
      <c r="D27" s="258">
        <v>0</v>
      </c>
    </row>
    <row r="28" spans="1:5" ht="13" x14ac:dyDescent="0.25">
      <c r="A28" s="3"/>
      <c r="B28" s="132" t="s">
        <v>413</v>
      </c>
      <c r="C28" s="131"/>
      <c r="D28" s="130"/>
    </row>
    <row r="29" spans="1:5" ht="13" x14ac:dyDescent="0.25">
      <c r="A29" s="3"/>
      <c r="B29" s="129" t="s">
        <v>412</v>
      </c>
      <c r="C29" s="258">
        <v>840</v>
      </c>
      <c r="D29" s="258">
        <v>840</v>
      </c>
    </row>
    <row r="30" spans="1:5" ht="13" x14ac:dyDescent="0.25">
      <c r="A30" s="3"/>
      <c r="B30" s="129" t="s">
        <v>411</v>
      </c>
      <c r="C30" s="258">
        <v>12448</v>
      </c>
      <c r="D30" s="258">
        <v>12448</v>
      </c>
    </row>
    <row r="31" spans="1:5" ht="13" x14ac:dyDescent="0.25">
      <c r="A31" s="3"/>
      <c r="B31" s="129" t="s">
        <v>410</v>
      </c>
      <c r="C31" s="258">
        <v>6574</v>
      </c>
      <c r="D31" s="258">
        <v>6574</v>
      </c>
    </row>
    <row r="32" spans="1:5" ht="15" customHeight="1" x14ac:dyDescent="0.25">
      <c r="A32" s="3"/>
      <c r="B32" s="129" t="s">
        <v>409</v>
      </c>
      <c r="C32" s="258">
        <v>5874</v>
      </c>
      <c r="D32" s="258">
        <v>5874</v>
      </c>
    </row>
    <row r="33" spans="1:8" ht="9" customHeight="1" x14ac:dyDescent="0.25"/>
    <row r="34" spans="1:8" ht="26.25" customHeight="1" x14ac:dyDescent="0.25">
      <c r="A34" s="3"/>
      <c r="B34" s="754" t="s">
        <v>408</v>
      </c>
      <c r="C34" s="754"/>
      <c r="D34" s="754"/>
      <c r="E34" s="259"/>
    </row>
    <row r="35" spans="1:8" ht="13" x14ac:dyDescent="0.25">
      <c r="A35" s="3"/>
      <c r="B35" s="5"/>
      <c r="C35" s="5"/>
      <c r="D35" s="50"/>
    </row>
    <row r="36" spans="1:8" ht="13" x14ac:dyDescent="0.25">
      <c r="A36" s="3"/>
      <c r="B36" s="128" t="s">
        <v>407</v>
      </c>
      <c r="C36" s="557"/>
      <c r="D36" s="557"/>
      <c r="E36" s="557"/>
    </row>
    <row r="37" spans="1:8" s="550" customFormat="1" ht="13" x14ac:dyDescent="0.35">
      <c r="A37" s="3"/>
    </row>
    <row r="38" spans="1:8" ht="13" x14ac:dyDescent="0.3">
      <c r="B38" s="706"/>
      <c r="C38" s="549"/>
      <c r="D38" s="127" t="s">
        <v>406</v>
      </c>
      <c r="E38" s="127" t="s">
        <v>405</v>
      </c>
    </row>
    <row r="39" spans="1:8" ht="25.5" customHeight="1" x14ac:dyDescent="0.25">
      <c r="A39" s="3" t="s">
        <v>404</v>
      </c>
      <c r="B39" s="756" t="s">
        <v>403</v>
      </c>
      <c r="C39" s="757"/>
      <c r="D39" s="238">
        <v>12</v>
      </c>
      <c r="E39" s="238">
        <v>18</v>
      </c>
    </row>
    <row r="40" spans="1:8" ht="12.5" x14ac:dyDescent="0.25"/>
    <row r="41" spans="1:8" ht="21" customHeight="1" x14ac:dyDescent="0.3">
      <c r="B41" s="706"/>
      <c r="C41" s="549"/>
      <c r="D41" s="173" t="s">
        <v>1108</v>
      </c>
      <c r="E41" s="60"/>
    </row>
    <row r="42" spans="1:8" ht="27.75" customHeight="1" x14ac:dyDescent="0.25">
      <c r="A42" s="3" t="s">
        <v>402</v>
      </c>
      <c r="B42" s="756" t="s">
        <v>401</v>
      </c>
      <c r="C42" s="757"/>
      <c r="D42" s="260" t="s">
        <v>1984</v>
      </c>
      <c r="E42" s="12"/>
      <c r="H42" s="1" t="str" cm="1">
        <f t="array" ref="H42">_xlfn.IFS($D$42="YES", "yes", $D$42="yes", "yes", $D$42="Yes", "yes", $D$42="NO", "no", $D$42="no", "no", $D$42="No", "no")</f>
        <v>no</v>
      </c>
    </row>
    <row r="43" spans="1:8" ht="28.5" customHeight="1" x14ac:dyDescent="0.25">
      <c r="A43" s="3" t="s">
        <v>400</v>
      </c>
      <c r="B43" s="550" t="s">
        <v>399</v>
      </c>
      <c r="C43" s="550"/>
      <c r="D43" s="260" t="s">
        <v>1984</v>
      </c>
      <c r="E43" s="12"/>
      <c r="H43" s="1" t="str" cm="1">
        <f t="array" ref="H43">_xlfn.IFS($D$43="YES", "yes", $D$43="yes", "yes", $D$43="Yes", "yes", $D$43="NO", "no", $D$43="no", "no", $D$43="No", "no")</f>
        <v>no</v>
      </c>
    </row>
    <row r="44" spans="1:8" ht="28.5" customHeight="1" x14ac:dyDescent="0.25">
      <c r="A44" s="3"/>
      <c r="B44" s="758" t="s">
        <v>398</v>
      </c>
      <c r="C44" s="758"/>
      <c r="D44" s="261" t="s">
        <v>582</v>
      </c>
      <c r="E44" s="12"/>
    </row>
    <row r="45" spans="1:8" ht="12.5" x14ac:dyDescent="0.25">
      <c r="B45" s="549"/>
      <c r="C45" s="549"/>
      <c r="D45" s="549"/>
      <c r="E45" s="549"/>
    </row>
    <row r="46" spans="1:8" ht="19.5" customHeight="1" x14ac:dyDescent="0.25">
      <c r="A46" s="3" t="s">
        <v>397</v>
      </c>
      <c r="B46" s="745" t="s">
        <v>396</v>
      </c>
      <c r="C46" s="745"/>
      <c r="D46" s="745"/>
      <c r="E46" s="745"/>
    </row>
    <row r="47" spans="1:8" ht="26" x14ac:dyDescent="0.25">
      <c r="A47" s="3"/>
      <c r="B47" s="22"/>
      <c r="C47" s="14" t="s">
        <v>395</v>
      </c>
      <c r="D47" s="14" t="s">
        <v>394</v>
      </c>
      <c r="E47" s="14" t="s">
        <v>393</v>
      </c>
    </row>
    <row r="48" spans="1:8" ht="13" x14ac:dyDescent="0.25">
      <c r="A48" s="3"/>
      <c r="B48" s="63" t="s">
        <v>392</v>
      </c>
      <c r="C48" s="262">
        <v>1000</v>
      </c>
      <c r="D48" s="262">
        <v>1000</v>
      </c>
      <c r="E48" s="262">
        <v>1000</v>
      </c>
    </row>
    <row r="49" spans="1:5" ht="13" x14ac:dyDescent="0.25">
      <c r="A49" s="3"/>
      <c r="B49" s="63" t="s">
        <v>391</v>
      </c>
      <c r="C49" s="124"/>
      <c r="D49" s="124"/>
      <c r="E49" s="262">
        <v>0</v>
      </c>
    </row>
    <row r="50" spans="1:5" ht="13" x14ac:dyDescent="0.25">
      <c r="A50" s="3"/>
      <c r="B50" s="63" t="s">
        <v>390</v>
      </c>
      <c r="C50" s="124"/>
      <c r="D50" s="262">
        <v>0</v>
      </c>
      <c r="E50" s="262">
        <v>0</v>
      </c>
    </row>
    <row r="51" spans="1:5" ht="13" x14ac:dyDescent="0.25">
      <c r="A51" s="3"/>
      <c r="B51" s="125" t="s">
        <v>389</v>
      </c>
      <c r="C51" s="124"/>
      <c r="D51" s="124"/>
      <c r="E51" s="262">
        <v>8140</v>
      </c>
    </row>
    <row r="52" spans="1:5" ht="13" x14ac:dyDescent="0.25">
      <c r="A52" s="3"/>
      <c r="B52" s="63" t="s">
        <v>388</v>
      </c>
      <c r="C52" s="262">
        <v>0</v>
      </c>
      <c r="D52" s="262">
        <v>0</v>
      </c>
      <c r="E52" s="262">
        <v>0</v>
      </c>
    </row>
    <row r="53" spans="1:5" ht="13" x14ac:dyDescent="0.25">
      <c r="A53" s="3"/>
      <c r="B53" s="63" t="s">
        <v>387</v>
      </c>
      <c r="C53" s="262">
        <v>2345</v>
      </c>
      <c r="D53" s="262">
        <v>2345</v>
      </c>
      <c r="E53" s="262">
        <v>2345</v>
      </c>
    </row>
    <row r="54" spans="1:5" ht="12.5" customHeight="1" x14ac:dyDescent="0.25">
      <c r="B54" s="759" t="s">
        <v>386</v>
      </c>
      <c r="C54" s="759"/>
      <c r="D54" s="759"/>
      <c r="E54" s="759"/>
    </row>
    <row r="55" spans="1:5" ht="12.5" x14ac:dyDescent="0.25"/>
    <row r="56" spans="1:5" ht="13" x14ac:dyDescent="0.25">
      <c r="A56" s="3" t="s">
        <v>385</v>
      </c>
      <c r="B56" s="745" t="s">
        <v>384</v>
      </c>
      <c r="C56" s="745"/>
    </row>
    <row r="57" spans="1:5" ht="13" x14ac:dyDescent="0.25">
      <c r="A57" s="3"/>
      <c r="B57" s="122" t="s">
        <v>383</v>
      </c>
      <c r="C57" s="263">
        <v>1608</v>
      </c>
    </row>
    <row r="58" spans="1:5" ht="13" x14ac:dyDescent="0.25">
      <c r="A58" s="3"/>
      <c r="B58" s="122" t="s">
        <v>382</v>
      </c>
      <c r="C58" s="121"/>
    </row>
    <row r="59" spans="1:5" ht="13" x14ac:dyDescent="0.25">
      <c r="A59" s="3"/>
      <c r="B59" s="123" t="s">
        <v>381</v>
      </c>
      <c r="C59" s="263">
        <v>0</v>
      </c>
    </row>
    <row r="60" spans="1:5" ht="13" x14ac:dyDescent="0.25">
      <c r="A60" s="3"/>
      <c r="B60" s="123" t="s">
        <v>380</v>
      </c>
      <c r="C60" s="263">
        <v>0</v>
      </c>
    </row>
    <row r="61" spans="1:5" ht="13" x14ac:dyDescent="0.25">
      <c r="A61" s="3"/>
      <c r="B61" s="123" t="s">
        <v>379</v>
      </c>
      <c r="C61" s="263">
        <v>0</v>
      </c>
    </row>
    <row r="62" spans="1:5" ht="13" x14ac:dyDescent="0.25">
      <c r="A62" s="3"/>
      <c r="B62" s="122" t="s">
        <v>1925</v>
      </c>
      <c r="C62" s="263">
        <v>1608</v>
      </c>
    </row>
    <row r="63" spans="1:5" ht="12.5" x14ac:dyDescent="0.25"/>
    <row r="64" spans="1:5" ht="12.5" x14ac:dyDescent="0.25"/>
    <row r="65" spans="2:5" ht="12.5" x14ac:dyDescent="0.25">
      <c r="B65" s="221"/>
      <c r="C65" s="221"/>
      <c r="D65" s="221"/>
      <c r="E65" s="221"/>
    </row>
    <row r="66" spans="2:5" ht="12.5" x14ac:dyDescent="0.25">
      <c r="B66" s="221"/>
      <c r="C66" s="221"/>
      <c r="D66" s="221"/>
      <c r="E66" s="221"/>
    </row>
    <row r="67" spans="2:5" ht="12.5" x14ac:dyDescent="0.25">
      <c r="B67" s="221"/>
      <c r="C67" s="221"/>
      <c r="D67" s="221"/>
      <c r="E67" s="221"/>
    </row>
    <row r="68" spans="2:5" ht="12.5" x14ac:dyDescent="0.25">
      <c r="B68" s="221"/>
      <c r="C68" s="221"/>
      <c r="D68" s="221"/>
      <c r="E68" s="221"/>
    </row>
    <row r="69" spans="2:5" ht="12.5" x14ac:dyDescent="0.25">
      <c r="B69" s="221"/>
      <c r="C69" s="221"/>
      <c r="D69" s="221"/>
      <c r="E69" s="221"/>
    </row>
    <row r="70" spans="2:5" ht="12.5" x14ac:dyDescent="0.25">
      <c r="B70" s="221"/>
      <c r="C70" s="221"/>
      <c r="D70" s="221"/>
      <c r="E70" s="221"/>
    </row>
    <row r="71" spans="2:5" ht="12.5" x14ac:dyDescent="0.25">
      <c r="B71" s="221"/>
      <c r="C71" s="221"/>
      <c r="D71" s="221"/>
      <c r="E71" s="221"/>
    </row>
    <row r="72" spans="2:5" ht="12.5" x14ac:dyDescent="0.25"/>
    <row r="73" spans="2:5" ht="12.5" x14ac:dyDescent="0.25"/>
    <row r="74" spans="2:5" ht="12.5" x14ac:dyDescent="0.25"/>
    <row r="75" spans="2:5" ht="12.5" x14ac:dyDescent="0.25"/>
    <row r="76" spans="2:5" ht="12.5" x14ac:dyDescent="0.25"/>
    <row r="77" spans="2:5" ht="12.5" x14ac:dyDescent="0.25"/>
  </sheetData>
  <sheetProtection algorithmName="SHA-512" hashValue="h3QqRHbBiP1wTSxSxvYCvdSEVG7xbsZFshAh9t1W0wNnz07PYyHISL0VyuxB4sJRxgLMGPKevlORjUaSF02x2Q==" saltValue="B6chrJeoz+t0AOeaHZfygA==" spinCount="100000" sheet="1" objects="1" scenarios="1"/>
  <mergeCells count="24">
    <mergeCell ref="B13:E13"/>
    <mergeCell ref="B14:E14"/>
    <mergeCell ref="B15:XFD15"/>
    <mergeCell ref="B16:XFD16"/>
    <mergeCell ref="A1:E1"/>
    <mergeCell ref="B4:E4"/>
    <mergeCell ref="B11:E11"/>
    <mergeCell ref="B6:E6"/>
    <mergeCell ref="B17:XFD17"/>
    <mergeCell ref="B18:XFD18"/>
    <mergeCell ref="B34:D34"/>
    <mergeCell ref="B8:E10"/>
    <mergeCell ref="B56:C56"/>
    <mergeCell ref="C36:E36"/>
    <mergeCell ref="B37:XFD37"/>
    <mergeCell ref="B38:C38"/>
    <mergeCell ref="B39:C39"/>
    <mergeCell ref="B41:C41"/>
    <mergeCell ref="B42:C42"/>
    <mergeCell ref="B43:C43"/>
    <mergeCell ref="B44:C44"/>
    <mergeCell ref="B45:E45"/>
    <mergeCell ref="B46:E46"/>
    <mergeCell ref="B54:E54"/>
  </mergeCells>
  <dataValidations count="1">
    <dataValidation type="textLength" operator="lessThanOrEqual" allowBlank="1" showInputMessage="1" showErrorMessage="1" sqref="D42 D43" xr:uid="{097A9FA6-00F0-954B-B975-75FAC0D9EF16}">
      <formula1>3</formula1>
    </dataValidation>
  </dataValidations>
  <pageMargins left="0.75" right="0.75" top="1" bottom="1" header="0.5" footer="0.5"/>
  <pageSetup scale="75" orientation="portrait" r:id="rId1"/>
  <headerFooter alignWithMargins="0">
    <oddHeader xml:space="preserve">&amp;LCommon Data Set 2021-2022
</oddHeader>
    <oddFooter>&amp;LCDS-G&amp;RPage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defaultSize="0" autoFill="0" autoLine="0" autoPict="0">
                <anchor moveWithCells="1">
                  <from>
                    <xdr:col>0</xdr:col>
                    <xdr:colOff>101600</xdr:colOff>
                    <xdr:row>7</xdr:row>
                    <xdr:rowOff>0</xdr:rowOff>
                  </from>
                  <to>
                    <xdr:col>1</xdr:col>
                    <xdr:colOff>406400</xdr:colOff>
                    <xdr:row>8</xdr:row>
                    <xdr:rowOff>50800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9969F-DFB5-41B4-96F5-45BF990A7EB2}">
  <sheetPr codeName="Sheet1"/>
  <dimension ref="A1:XFD236"/>
  <sheetViews>
    <sheetView showGridLines="0" showRowColHeaders="0" showRuler="0" topLeftCell="A64" zoomScale="130" zoomScaleNormal="130" workbookViewId="0">
      <selection activeCell="D67" sqref="D67"/>
    </sheetView>
  </sheetViews>
  <sheetFormatPr defaultColWidth="0" defaultRowHeight="12.5" customHeight="1" zeroHeight="1" x14ac:dyDescent="0.25"/>
  <cols>
    <col min="1" max="1" width="4.6640625" style="2" customWidth="1"/>
    <col min="2" max="2" width="8.1640625" style="1" customWidth="1"/>
    <col min="3" max="3" width="40.83203125" style="1" customWidth="1"/>
    <col min="4" max="4" width="15" style="1" customWidth="1"/>
    <col min="5" max="5" width="14.83203125" style="1" customWidth="1"/>
    <col min="6" max="6" width="23.1640625" style="1" customWidth="1"/>
    <col min="7" max="7" width="27.1640625" style="1" hidden="1" customWidth="1"/>
    <col min="8" max="21" width="10.83203125" style="1" hidden="1" customWidth="1"/>
    <col min="22" max="16381" width="10.83203125" style="1" customWidth="1"/>
    <col min="16382" max="16382" width="5" style="1" customWidth="1"/>
    <col min="16383" max="16383" width="8" style="1" customWidth="1"/>
    <col min="16384" max="16384" width="9.5" style="1" customWidth="1"/>
  </cols>
  <sheetData>
    <row r="1" spans="1:6" ht="18" x14ac:dyDescent="0.25">
      <c r="A1" s="548" t="s">
        <v>0</v>
      </c>
      <c r="B1" s="548"/>
      <c r="C1" s="548"/>
      <c r="D1" s="548"/>
      <c r="E1" s="548"/>
      <c r="F1" s="548"/>
    </row>
    <row r="2" spans="1:6" x14ac:dyDescent="0.25"/>
    <row r="3" spans="1:6" ht="14" x14ac:dyDescent="0.25">
      <c r="B3" s="762" t="s">
        <v>1</v>
      </c>
      <c r="C3" s="762"/>
      <c r="D3" s="762"/>
      <c r="E3" s="762"/>
      <c r="F3" s="762"/>
    </row>
    <row r="4" spans="1:6" ht="8.25" customHeight="1" x14ac:dyDescent="0.25">
      <c r="A4" s="3"/>
      <c r="B4" s="753"/>
      <c r="C4" s="550"/>
      <c r="D4" s="550"/>
      <c r="E4" s="550"/>
      <c r="F4" s="550"/>
    </row>
    <row r="5" spans="1:6" ht="20.25" customHeight="1" x14ac:dyDescent="0.25">
      <c r="A5" s="3"/>
      <c r="B5" s="753" t="s">
        <v>2</v>
      </c>
      <c r="C5" s="753"/>
      <c r="D5" s="753"/>
      <c r="E5" s="753"/>
      <c r="F5" s="753"/>
    </row>
    <row r="6" spans="1:6" ht="32.25" customHeight="1" x14ac:dyDescent="0.25">
      <c r="A6" s="3"/>
      <c r="B6" s="753" t="s">
        <v>3</v>
      </c>
      <c r="C6" s="753"/>
      <c r="D6" s="753"/>
      <c r="E6" s="753"/>
      <c r="F6" s="753"/>
    </row>
    <row r="7" spans="1:6" ht="44.25" customHeight="1" x14ac:dyDescent="0.25">
      <c r="A7" s="3"/>
      <c r="B7" s="753" t="s">
        <v>4</v>
      </c>
      <c r="C7" s="753"/>
      <c r="D7" s="753"/>
      <c r="E7" s="753"/>
      <c r="F7" s="753"/>
    </row>
    <row r="8" spans="1:6" ht="30.75" customHeight="1" x14ac:dyDescent="0.25">
      <c r="A8" s="3"/>
      <c r="B8" s="753" t="s">
        <v>5</v>
      </c>
      <c r="C8" s="753"/>
      <c r="D8" s="753"/>
      <c r="E8" s="753"/>
      <c r="F8" s="753"/>
    </row>
    <row r="9" spans="1:6" ht="28.5" customHeight="1" x14ac:dyDescent="0.25">
      <c r="A9" s="3"/>
      <c r="B9" s="753" t="s">
        <v>6</v>
      </c>
      <c r="C9" s="753"/>
      <c r="D9" s="753"/>
      <c r="E9" s="753"/>
      <c r="F9" s="753"/>
    </row>
    <row r="10" spans="1:6" ht="44.25" customHeight="1" x14ac:dyDescent="0.25">
      <c r="A10" s="3"/>
      <c r="B10" s="753" t="s">
        <v>7</v>
      </c>
      <c r="C10" s="753"/>
      <c r="D10" s="753"/>
      <c r="E10" s="753"/>
      <c r="F10" s="753"/>
    </row>
    <row r="11" spans="1:6" ht="31.5" customHeight="1" x14ac:dyDescent="0.25">
      <c r="A11" s="3"/>
      <c r="B11" s="753" t="s">
        <v>8</v>
      </c>
      <c r="C11" s="753"/>
      <c r="D11" s="753"/>
      <c r="E11" s="753"/>
      <c r="F11" s="753"/>
    </row>
    <row r="12" spans="1:6" ht="31.5" customHeight="1" x14ac:dyDescent="0.25">
      <c r="A12" s="3"/>
      <c r="B12" s="753" t="s">
        <v>9</v>
      </c>
      <c r="C12" s="753"/>
      <c r="D12" s="753"/>
      <c r="E12" s="753"/>
      <c r="F12" s="753"/>
    </row>
    <row r="13" spans="1:6" ht="65.25" customHeight="1" x14ac:dyDescent="0.25">
      <c r="A13" s="3"/>
      <c r="B13" s="753" t="s">
        <v>10</v>
      </c>
      <c r="C13" s="753"/>
      <c r="D13" s="753"/>
      <c r="E13" s="753"/>
      <c r="F13" s="753"/>
    </row>
    <row r="14" spans="1:6" ht="13.5" customHeight="1" x14ac:dyDescent="0.25">
      <c r="A14" s="3"/>
      <c r="B14" s="763" t="s">
        <v>11</v>
      </c>
      <c r="C14" s="763"/>
      <c r="D14" s="763"/>
      <c r="E14" s="763"/>
      <c r="F14" s="763"/>
    </row>
    <row r="15" spans="1:6" ht="13.5" customHeight="1" x14ac:dyDescent="0.25">
      <c r="A15" s="3"/>
      <c r="B15" s="4"/>
      <c r="C15" s="6" t="s">
        <v>12</v>
      </c>
      <c r="D15" s="753" t="s">
        <v>13</v>
      </c>
      <c r="E15" s="753"/>
      <c r="F15" s="4"/>
    </row>
    <row r="16" spans="1:6" ht="13.5" customHeight="1" x14ac:dyDescent="0.25">
      <c r="A16" s="3"/>
      <c r="B16" s="4"/>
      <c r="C16" s="6" t="s">
        <v>14</v>
      </c>
      <c r="D16" s="753" t="s">
        <v>15</v>
      </c>
      <c r="E16" s="753"/>
      <c r="F16" s="4"/>
    </row>
    <row r="17" spans="1:6" ht="13.5" customHeight="1" x14ac:dyDescent="0.25">
      <c r="A17" s="3"/>
      <c r="B17" s="4"/>
      <c r="C17" s="6" t="s">
        <v>16</v>
      </c>
      <c r="D17" s="753" t="s">
        <v>17</v>
      </c>
      <c r="E17" s="753"/>
      <c r="F17" s="4"/>
    </row>
    <row r="18" spans="1:6" ht="12.75" customHeight="1" x14ac:dyDescent="0.25">
      <c r="A18" s="3"/>
      <c r="B18" s="4"/>
      <c r="C18" s="6" t="s">
        <v>18</v>
      </c>
      <c r="D18" s="753" t="s">
        <v>19</v>
      </c>
      <c r="E18" s="753"/>
      <c r="F18" s="4"/>
    </row>
    <row r="19" spans="1:6" ht="18.75" customHeight="1" x14ac:dyDescent="0.25">
      <c r="A19" s="3"/>
      <c r="B19" s="4"/>
      <c r="C19" s="6" t="s">
        <v>20</v>
      </c>
      <c r="D19" s="4"/>
      <c r="E19" s="4"/>
      <c r="F19" s="4"/>
    </row>
    <row r="20" spans="1:6" ht="31.5" customHeight="1" x14ac:dyDescent="0.25">
      <c r="A20" s="3"/>
      <c r="B20" s="753" t="s">
        <v>21</v>
      </c>
      <c r="C20" s="753"/>
      <c r="D20" s="753"/>
      <c r="E20" s="753"/>
      <c r="F20" s="753"/>
    </row>
    <row r="21" spans="1:6" ht="32.25" customHeight="1" x14ac:dyDescent="0.25">
      <c r="A21" s="3"/>
      <c r="B21" s="753" t="s">
        <v>22</v>
      </c>
      <c r="C21" s="753"/>
      <c r="D21" s="753"/>
      <c r="E21" s="753"/>
      <c r="F21" s="753"/>
    </row>
    <row r="22" spans="1:6" ht="39.75" customHeight="1" x14ac:dyDescent="0.25">
      <c r="A22" s="3"/>
      <c r="B22" s="753" t="s">
        <v>23</v>
      </c>
      <c r="C22" s="753"/>
      <c r="D22" s="753"/>
      <c r="E22" s="753"/>
      <c r="F22" s="753"/>
    </row>
    <row r="23" spans="1:6" ht="25.5" customHeight="1" x14ac:dyDescent="0.25">
      <c r="A23" s="3"/>
      <c r="B23" s="753" t="s">
        <v>24</v>
      </c>
      <c r="C23" s="753"/>
      <c r="D23" s="753"/>
      <c r="E23" s="753"/>
      <c r="F23" s="753"/>
    </row>
    <row r="24" spans="1:6" ht="12.75" customHeight="1" x14ac:dyDescent="0.25">
      <c r="A24" s="3"/>
      <c r="B24" s="4"/>
      <c r="C24" s="4"/>
      <c r="D24" s="4"/>
      <c r="E24" s="4"/>
      <c r="F24" s="4"/>
    </row>
    <row r="25" spans="1:6" ht="13.5" customHeight="1" x14ac:dyDescent="0.25">
      <c r="A25" s="3"/>
      <c r="B25" s="764" t="s">
        <v>25</v>
      </c>
      <c r="C25" s="764"/>
      <c r="D25" s="764"/>
      <c r="E25" s="764"/>
      <c r="F25" s="764"/>
    </row>
    <row r="26" spans="1:6" ht="13.5" customHeight="1" x14ac:dyDescent="0.25">
      <c r="A26" s="3"/>
      <c r="B26" s="7"/>
      <c r="C26" s="7"/>
      <c r="D26" s="7"/>
      <c r="E26" s="7"/>
      <c r="F26" s="7"/>
    </row>
    <row r="27" spans="1:6" ht="15.5" x14ac:dyDescent="0.25">
      <c r="A27" s="3"/>
      <c r="B27" s="765" t="s">
        <v>26</v>
      </c>
      <c r="C27" s="766"/>
      <c r="D27" s="766"/>
      <c r="E27" s="766"/>
      <c r="F27" s="766"/>
    </row>
    <row r="28" spans="1:6" ht="13" x14ac:dyDescent="0.25">
      <c r="A28" s="3"/>
      <c r="B28" s="767"/>
      <c r="C28" s="767"/>
      <c r="D28" s="767"/>
      <c r="E28" s="767"/>
      <c r="F28" s="767"/>
    </row>
    <row r="29" spans="1:6" ht="43.5" customHeight="1" x14ac:dyDescent="0.25">
      <c r="A29" s="3" t="s">
        <v>27</v>
      </c>
      <c r="B29" s="753" t="s">
        <v>28</v>
      </c>
      <c r="C29" s="753"/>
      <c r="D29" s="753"/>
      <c r="E29" s="753"/>
      <c r="F29" s="753"/>
    </row>
    <row r="30" spans="1:6" ht="27" customHeight="1" x14ac:dyDescent="0.25">
      <c r="A30" s="3"/>
      <c r="B30" s="753" t="s">
        <v>1493</v>
      </c>
      <c r="C30" s="753"/>
      <c r="D30" s="753"/>
      <c r="E30" s="753"/>
      <c r="F30" s="753"/>
    </row>
    <row r="31" spans="1:6" ht="13" x14ac:dyDescent="0.25">
      <c r="A31" s="3"/>
      <c r="B31" s="753" t="s">
        <v>29</v>
      </c>
      <c r="C31" s="753"/>
      <c r="D31" s="753"/>
      <c r="E31" s="753"/>
      <c r="F31" s="753"/>
    </row>
    <row r="32" spans="1:6" ht="27" customHeight="1" x14ac:dyDescent="0.25">
      <c r="A32" s="3"/>
      <c r="B32" s="753" t="s">
        <v>30</v>
      </c>
      <c r="C32" s="753"/>
      <c r="D32" s="753"/>
      <c r="E32" s="753"/>
      <c r="F32" s="753"/>
    </row>
    <row r="33" spans="1:8" ht="27" customHeight="1" x14ac:dyDescent="0.25">
      <c r="A33" s="3"/>
      <c r="B33" s="753" t="s">
        <v>31</v>
      </c>
      <c r="C33" s="753"/>
      <c r="D33" s="753"/>
      <c r="E33" s="753"/>
      <c r="F33" s="753"/>
    </row>
    <row r="34" spans="1:8" ht="13.5" customHeight="1" x14ac:dyDescent="0.25">
      <c r="A34" s="3"/>
      <c r="B34" s="764" t="s">
        <v>32</v>
      </c>
      <c r="C34" s="764"/>
      <c r="D34" s="764"/>
      <c r="E34" s="764"/>
      <c r="F34" s="764"/>
    </row>
    <row r="35" spans="1:8" ht="13" x14ac:dyDescent="0.25">
      <c r="A35" s="3"/>
      <c r="B35" s="4"/>
      <c r="C35" s="5"/>
      <c r="D35" s="5"/>
      <c r="E35" s="5"/>
      <c r="F35" s="5"/>
    </row>
    <row r="36" spans="1:8" ht="26" x14ac:dyDescent="0.25">
      <c r="A36" s="3"/>
      <c r="B36" s="753"/>
      <c r="C36" s="550"/>
      <c r="D36" s="550"/>
      <c r="E36" s="8" t="s">
        <v>1494</v>
      </c>
      <c r="F36" s="9" t="s">
        <v>1495</v>
      </c>
    </row>
    <row r="37" spans="1:8" ht="27" customHeight="1" x14ac:dyDescent="0.25">
      <c r="A37" s="3"/>
      <c r="B37" s="780" t="s">
        <v>33</v>
      </c>
      <c r="C37" s="721"/>
      <c r="D37" s="721"/>
      <c r="E37" s="239"/>
      <c r="F37" s="239" t="s">
        <v>1992</v>
      </c>
    </row>
    <row r="38" spans="1:8" ht="13" x14ac:dyDescent="0.25">
      <c r="A38" s="3"/>
      <c r="B38" s="550" t="s">
        <v>34</v>
      </c>
      <c r="C38" s="550"/>
      <c r="D38" s="550"/>
      <c r="E38" s="550"/>
      <c r="F38" s="550"/>
    </row>
    <row r="39" spans="1:8" ht="13" x14ac:dyDescent="0.25">
      <c r="A39" s="3"/>
      <c r="B39" s="5"/>
      <c r="C39" s="5"/>
      <c r="D39" s="5"/>
      <c r="E39" s="5"/>
      <c r="F39" s="5"/>
    </row>
    <row r="40" spans="1:8" ht="17" customHeight="1" x14ac:dyDescent="0.25">
      <c r="A40" s="60"/>
      <c r="B40" s="781" t="s">
        <v>35</v>
      </c>
      <c r="C40" s="781"/>
      <c r="D40" s="226" t="b">
        <v>1</v>
      </c>
      <c r="H40" s="1" t="str" cm="1">
        <f t="array" ref="H40">_xlfn.IFS($D$40=TRUE, "Federal Methodology (FM)|", $D$40=FALSE, "")</f>
        <v>Federal Methodology (FM)|</v>
      </c>
    </row>
    <row r="41" spans="1:8" ht="17" customHeight="1" x14ac:dyDescent="0.25">
      <c r="A41" s="60"/>
      <c r="B41" s="782" t="s">
        <v>36</v>
      </c>
      <c r="C41" s="782"/>
      <c r="D41" s="226" t="b">
        <v>0</v>
      </c>
      <c r="H41" s="1" t="str" cm="1">
        <f t="array" ref="H41">_xlfn.IFS($D$41=TRUE, "Institutional Methodology (IM)|",$D$41=FALSE, "")</f>
        <v/>
      </c>
    </row>
    <row r="42" spans="1:8" ht="17" customHeight="1" x14ac:dyDescent="0.25">
      <c r="A42" s="60"/>
      <c r="B42" s="782" t="s">
        <v>37</v>
      </c>
      <c r="C42" s="782"/>
      <c r="D42" s="226" t="b">
        <v>0</v>
      </c>
      <c r="H42" s="1" t="str" cm="1">
        <f t="array" ref="H42">_xlfn.IFS($D$42=TRUE, "Both FM and IM|", $D$42=FALSE, "")</f>
        <v/>
      </c>
    </row>
    <row r="43" spans="1:8" x14ac:dyDescent="0.25"/>
    <row r="44" spans="1:8" ht="50.5" x14ac:dyDescent="0.25">
      <c r="A44" s="3"/>
      <c r="B44" s="768"/>
      <c r="C44" s="769"/>
      <c r="D44" s="770"/>
      <c r="E44" s="14" t="s">
        <v>38</v>
      </c>
      <c r="F44" s="14" t="s">
        <v>39</v>
      </c>
    </row>
    <row r="45" spans="1:8" ht="13" x14ac:dyDescent="0.3">
      <c r="A45" s="3"/>
      <c r="B45" s="15" t="s">
        <v>40</v>
      </c>
      <c r="C45" s="16"/>
      <c r="D45" s="16"/>
      <c r="E45" s="17" t="s">
        <v>41</v>
      </c>
      <c r="F45" s="18" t="s">
        <v>42</v>
      </c>
    </row>
    <row r="46" spans="1:8" ht="13" x14ac:dyDescent="0.25">
      <c r="A46" s="3"/>
      <c r="B46" s="771" t="s">
        <v>43</v>
      </c>
      <c r="C46" s="772"/>
      <c r="D46" s="773"/>
      <c r="E46" s="240">
        <v>1279552</v>
      </c>
      <c r="F46" s="241">
        <v>0</v>
      </c>
    </row>
    <row r="47" spans="1:8" ht="26.25" customHeight="1" x14ac:dyDescent="0.25">
      <c r="A47" s="3"/>
      <c r="B47" s="774" t="s">
        <v>44</v>
      </c>
      <c r="C47" s="775"/>
      <c r="D47" s="776"/>
      <c r="E47" s="241">
        <v>395097</v>
      </c>
      <c r="F47" s="241">
        <v>0</v>
      </c>
    </row>
    <row r="48" spans="1:8" ht="40.5" customHeight="1" x14ac:dyDescent="0.25">
      <c r="A48" s="3"/>
      <c r="B48" s="774" t="s">
        <v>45</v>
      </c>
      <c r="C48" s="775"/>
      <c r="D48" s="776"/>
      <c r="E48" s="241">
        <v>14258280</v>
      </c>
      <c r="F48" s="241">
        <v>7836387.1900000004</v>
      </c>
    </row>
    <row r="49" spans="1:6" ht="27.75" customHeight="1" x14ac:dyDescent="0.25">
      <c r="A49" s="3"/>
      <c r="B49" s="774" t="s">
        <v>46</v>
      </c>
      <c r="C49" s="775"/>
      <c r="D49" s="776"/>
      <c r="E49" s="241">
        <v>142721.34</v>
      </c>
      <c r="F49" s="241">
        <v>53516.5</v>
      </c>
    </row>
    <row r="50" spans="1:6" ht="13" x14ac:dyDescent="0.3">
      <c r="A50" s="3"/>
      <c r="B50" s="777" t="s">
        <v>47</v>
      </c>
      <c r="C50" s="778"/>
      <c r="D50" s="779"/>
      <c r="E50" s="19">
        <f>SUM(E46:E49)</f>
        <v>16075650.34</v>
      </c>
      <c r="F50" s="19">
        <f>SUM(F46:F49)</f>
        <v>7889903.6900000004</v>
      </c>
    </row>
    <row r="51" spans="1:6" ht="13" x14ac:dyDescent="0.3">
      <c r="A51" s="3"/>
      <c r="B51" s="15" t="s">
        <v>48</v>
      </c>
      <c r="C51" s="16"/>
      <c r="D51" s="16"/>
      <c r="E51" s="20"/>
      <c r="F51" s="21"/>
    </row>
    <row r="52" spans="1:6" ht="13" x14ac:dyDescent="0.25">
      <c r="A52" s="3"/>
      <c r="B52" s="774" t="s">
        <v>49</v>
      </c>
      <c r="C52" s="775"/>
      <c r="D52" s="776"/>
      <c r="E52" s="242">
        <v>1634667.34</v>
      </c>
      <c r="F52" s="242">
        <v>732028.66</v>
      </c>
    </row>
    <row r="53" spans="1:6" ht="13" x14ac:dyDescent="0.25">
      <c r="A53" s="3"/>
      <c r="B53" s="774" t="s">
        <v>50</v>
      </c>
      <c r="C53" s="775"/>
      <c r="D53" s="776"/>
      <c r="E53" s="242">
        <v>117492.3</v>
      </c>
      <c r="F53" s="22"/>
    </row>
    <row r="54" spans="1:6" ht="25.5" customHeight="1" x14ac:dyDescent="0.25">
      <c r="A54" s="3"/>
      <c r="B54" s="774" t="s">
        <v>51</v>
      </c>
      <c r="C54" s="775"/>
      <c r="D54" s="776"/>
      <c r="E54" s="242">
        <v>120798.67</v>
      </c>
      <c r="F54" s="243">
        <v>23.93</v>
      </c>
    </row>
    <row r="55" spans="1:6" ht="13" x14ac:dyDescent="0.3">
      <c r="A55" s="3"/>
      <c r="B55" s="777" t="s">
        <v>52</v>
      </c>
      <c r="C55" s="778"/>
      <c r="D55" s="779"/>
      <c r="E55" s="23">
        <f>SUM(E52:E54)</f>
        <v>1872958.31</v>
      </c>
      <c r="F55" s="23">
        <f>SUM(F52,F54)</f>
        <v>732052.59000000008</v>
      </c>
    </row>
    <row r="56" spans="1:6" ht="13" x14ac:dyDescent="0.25">
      <c r="A56" s="3"/>
      <c r="B56" s="777" t="s">
        <v>53</v>
      </c>
      <c r="C56" s="778"/>
      <c r="D56" s="779"/>
      <c r="E56" s="242">
        <v>312618.62</v>
      </c>
      <c r="F56" s="242">
        <v>650749.74</v>
      </c>
    </row>
    <row r="57" spans="1:6" ht="42.75" customHeight="1" x14ac:dyDescent="0.25">
      <c r="A57" s="3"/>
      <c r="B57" s="784" t="s">
        <v>54</v>
      </c>
      <c r="C57" s="785"/>
      <c r="D57" s="786"/>
      <c r="E57" s="242">
        <v>0</v>
      </c>
      <c r="F57" s="242">
        <v>0</v>
      </c>
    </row>
    <row r="58" spans="1:6" ht="13" x14ac:dyDescent="0.25">
      <c r="A58" s="3"/>
      <c r="B58" s="777" t="s">
        <v>55</v>
      </c>
      <c r="C58" s="778"/>
      <c r="D58" s="779"/>
      <c r="E58" s="242">
        <v>0</v>
      </c>
      <c r="F58" s="242">
        <v>0</v>
      </c>
    </row>
    <row r="59" spans="1:6" x14ac:dyDescent="0.25"/>
    <row r="60" spans="1:6" ht="28.5" customHeight="1" x14ac:dyDescent="0.25">
      <c r="A60" s="3" t="s">
        <v>56</v>
      </c>
      <c r="B60" s="741" t="s">
        <v>57</v>
      </c>
      <c r="C60" s="550"/>
      <c r="D60" s="550"/>
      <c r="E60" s="550"/>
      <c r="F60" s="550"/>
    </row>
    <row r="61" spans="1:6" ht="31.5" customHeight="1" x14ac:dyDescent="0.25">
      <c r="A61" s="3"/>
      <c r="B61" s="741" t="s">
        <v>58</v>
      </c>
      <c r="C61" s="741"/>
      <c r="D61" s="741"/>
      <c r="E61" s="741"/>
      <c r="F61" s="741"/>
    </row>
    <row r="62" spans="1:6" ht="15" customHeight="1" x14ac:dyDescent="0.25">
      <c r="A62" s="3"/>
      <c r="B62" s="783" t="s">
        <v>59</v>
      </c>
      <c r="C62" s="741"/>
      <c r="D62" s="741"/>
      <c r="E62" s="741"/>
      <c r="F62" s="741"/>
    </row>
    <row r="63" spans="1:6" ht="30" customHeight="1" x14ac:dyDescent="0.25">
      <c r="A63" s="3"/>
      <c r="B63" s="550" t="s">
        <v>1927</v>
      </c>
      <c r="C63" s="550"/>
      <c r="D63" s="550"/>
      <c r="E63" s="550"/>
      <c r="F63" s="550"/>
    </row>
    <row r="64" spans="1:6" ht="15" customHeight="1" x14ac:dyDescent="0.25">
      <c r="A64" s="3"/>
      <c r="B64" s="764" t="s">
        <v>60</v>
      </c>
      <c r="C64" s="764"/>
      <c r="D64" s="764"/>
      <c r="E64" s="764"/>
      <c r="F64" s="764"/>
    </row>
    <row r="65" spans="1:14" ht="14.25" customHeight="1" x14ac:dyDescent="0.25">
      <c r="A65" s="3"/>
      <c r="B65" s="24"/>
      <c r="C65" s="5"/>
      <c r="D65" s="5"/>
      <c r="E65" s="5"/>
      <c r="F65" s="5"/>
    </row>
    <row r="66" spans="1:14" ht="34.5" x14ac:dyDescent="0.25">
      <c r="A66" s="3"/>
      <c r="B66" s="25"/>
      <c r="C66" s="26"/>
      <c r="D66" s="27" t="s">
        <v>1930</v>
      </c>
      <c r="E66" s="27" t="s">
        <v>1693</v>
      </c>
      <c r="F66" s="28" t="s">
        <v>61</v>
      </c>
    </row>
    <row r="67" spans="1:14" ht="23" x14ac:dyDescent="0.25">
      <c r="A67" s="3"/>
      <c r="B67" s="29" t="s">
        <v>62</v>
      </c>
      <c r="C67" s="30" t="s">
        <v>1496</v>
      </c>
      <c r="D67" s="244">
        <v>171</v>
      </c>
      <c r="E67" s="244">
        <v>653</v>
      </c>
      <c r="F67" s="244" t="s">
        <v>582</v>
      </c>
    </row>
    <row r="68" spans="1:14" ht="24.75" customHeight="1" x14ac:dyDescent="0.25">
      <c r="A68" s="3"/>
      <c r="B68" s="29" t="s">
        <v>63</v>
      </c>
      <c r="C68" s="30" t="s">
        <v>64</v>
      </c>
      <c r="D68" s="244">
        <v>171</v>
      </c>
      <c r="E68" s="244">
        <v>649</v>
      </c>
      <c r="F68" s="244" t="s">
        <v>582</v>
      </c>
    </row>
    <row r="69" spans="1:14" ht="23" x14ac:dyDescent="0.25">
      <c r="A69" s="3"/>
      <c r="B69" s="29" t="s">
        <v>65</v>
      </c>
      <c r="C69" s="30" t="s">
        <v>66</v>
      </c>
      <c r="D69" s="244">
        <v>133</v>
      </c>
      <c r="E69" s="244">
        <v>546</v>
      </c>
      <c r="F69" s="244" t="s">
        <v>582</v>
      </c>
    </row>
    <row r="70" spans="1:14" ht="23" x14ac:dyDescent="0.25">
      <c r="A70" s="3"/>
      <c r="B70" s="29" t="s">
        <v>67</v>
      </c>
      <c r="C70" s="30" t="s">
        <v>68</v>
      </c>
      <c r="D70" s="244">
        <v>133</v>
      </c>
      <c r="E70" s="244">
        <v>463</v>
      </c>
      <c r="F70" s="244" t="s">
        <v>582</v>
      </c>
    </row>
    <row r="71" spans="1:14" ht="23" x14ac:dyDescent="0.25">
      <c r="A71" s="3"/>
      <c r="B71" s="29" t="s">
        <v>69</v>
      </c>
      <c r="C71" s="30" t="s">
        <v>70</v>
      </c>
      <c r="D71" s="244">
        <v>102</v>
      </c>
      <c r="E71" s="244">
        <v>463</v>
      </c>
      <c r="F71" s="244" t="s">
        <v>582</v>
      </c>
    </row>
    <row r="72" spans="1:14" ht="23" x14ac:dyDescent="0.25">
      <c r="A72" s="3"/>
      <c r="B72" s="29" t="s">
        <v>71</v>
      </c>
      <c r="C72" s="30" t="s">
        <v>72</v>
      </c>
      <c r="D72" s="244">
        <v>87</v>
      </c>
      <c r="E72" s="244">
        <v>388</v>
      </c>
      <c r="F72" s="244" t="s">
        <v>582</v>
      </c>
    </row>
    <row r="73" spans="1:14" ht="23" x14ac:dyDescent="0.25">
      <c r="A73" s="3"/>
      <c r="B73" s="29" t="s">
        <v>73</v>
      </c>
      <c r="C73" s="30" t="s">
        <v>74</v>
      </c>
      <c r="D73" s="244">
        <v>70</v>
      </c>
      <c r="E73" s="244">
        <v>183</v>
      </c>
      <c r="F73" s="244" t="s">
        <v>582</v>
      </c>
    </row>
    <row r="74" spans="1:14" ht="34.5" x14ac:dyDescent="0.25">
      <c r="A74" s="3"/>
      <c r="B74" s="29" t="s">
        <v>75</v>
      </c>
      <c r="C74" s="30" t="s">
        <v>76</v>
      </c>
      <c r="D74" s="244">
        <v>40</v>
      </c>
      <c r="E74" s="244">
        <v>175</v>
      </c>
      <c r="F74" s="244" t="s">
        <v>582</v>
      </c>
    </row>
    <row r="75" spans="1:14" ht="57.5" x14ac:dyDescent="0.25">
      <c r="A75" s="3"/>
      <c r="B75" s="29" t="s">
        <v>77</v>
      </c>
      <c r="C75" s="30" t="s">
        <v>78</v>
      </c>
      <c r="D75" s="493">
        <v>54</v>
      </c>
      <c r="E75" s="493">
        <v>65</v>
      </c>
      <c r="F75" s="493" t="s">
        <v>582</v>
      </c>
      <c r="N75" s="38" t="s">
        <v>1888</v>
      </c>
    </row>
    <row r="76" spans="1:14" ht="46" x14ac:dyDescent="0.25">
      <c r="A76" s="3"/>
      <c r="B76" s="29" t="s">
        <v>79</v>
      </c>
      <c r="C76" s="30" t="s">
        <v>80</v>
      </c>
      <c r="D76" s="245">
        <v>42330</v>
      </c>
      <c r="E76" s="245">
        <v>42812</v>
      </c>
      <c r="F76" s="245" t="s">
        <v>582</v>
      </c>
    </row>
    <row r="77" spans="1:14" ht="23" x14ac:dyDescent="0.25">
      <c r="A77" s="3"/>
      <c r="B77" s="31" t="s">
        <v>81</v>
      </c>
      <c r="C77" s="32" t="s">
        <v>82</v>
      </c>
      <c r="D77" s="245">
        <v>23343</v>
      </c>
      <c r="E77" s="245">
        <v>30446</v>
      </c>
      <c r="F77" s="245" t="s">
        <v>582</v>
      </c>
    </row>
    <row r="78" spans="1:14" ht="36.75" customHeight="1" x14ac:dyDescent="0.25">
      <c r="A78" s="3"/>
      <c r="B78" s="29" t="s">
        <v>83</v>
      </c>
      <c r="C78" s="30" t="s">
        <v>84</v>
      </c>
      <c r="D78" s="245">
        <v>821</v>
      </c>
      <c r="E78" s="245">
        <v>976</v>
      </c>
      <c r="F78" s="245" t="s">
        <v>582</v>
      </c>
    </row>
    <row r="79" spans="1:14" ht="34.5" x14ac:dyDescent="0.25">
      <c r="A79" s="3"/>
      <c r="B79" s="29" t="s">
        <v>85</v>
      </c>
      <c r="C79" s="30" t="s">
        <v>86</v>
      </c>
      <c r="D79" s="245">
        <v>2435</v>
      </c>
      <c r="E79" s="245">
        <v>7019</v>
      </c>
      <c r="F79" s="245" t="s">
        <v>582</v>
      </c>
    </row>
    <row r="80" spans="1:14" x14ac:dyDescent="0.25"/>
    <row r="81" spans="1:6" ht="42.75" customHeight="1" x14ac:dyDescent="0.25">
      <c r="A81" s="3" t="s">
        <v>87</v>
      </c>
      <c r="B81" s="741" t="s">
        <v>88</v>
      </c>
      <c r="C81" s="550"/>
      <c r="D81" s="550"/>
      <c r="E81" s="550"/>
      <c r="F81" s="550"/>
    </row>
    <row r="82" spans="1:6" ht="13.5" customHeight="1" x14ac:dyDescent="0.25">
      <c r="A82" s="3"/>
      <c r="B82" s="550" t="s">
        <v>89</v>
      </c>
      <c r="C82" s="741"/>
      <c r="D82" s="741"/>
      <c r="E82" s="741"/>
      <c r="F82" s="741"/>
    </row>
    <row r="83" spans="1:6" ht="24.75" customHeight="1" x14ac:dyDescent="0.25">
      <c r="A83" s="3"/>
      <c r="B83" s="550" t="s">
        <v>1928</v>
      </c>
      <c r="C83" s="741"/>
      <c r="D83" s="741"/>
      <c r="E83" s="741"/>
      <c r="F83" s="741"/>
    </row>
    <row r="84" spans="1:6" ht="23.25" customHeight="1" x14ac:dyDescent="0.25">
      <c r="A84" s="3"/>
      <c r="B84" s="789" t="s">
        <v>32</v>
      </c>
      <c r="C84" s="744"/>
      <c r="D84" s="744"/>
      <c r="E84" s="744"/>
      <c r="F84" s="744"/>
    </row>
    <row r="85" spans="1:6" ht="34.5" x14ac:dyDescent="0.25">
      <c r="A85" s="3"/>
      <c r="B85" s="25"/>
      <c r="C85" s="26"/>
      <c r="D85" s="28" t="s">
        <v>1929</v>
      </c>
      <c r="E85" s="28" t="s">
        <v>1694</v>
      </c>
      <c r="F85" s="28" t="s">
        <v>61</v>
      </c>
    </row>
    <row r="86" spans="1:6" ht="49.5" customHeight="1" x14ac:dyDescent="0.25">
      <c r="A86" s="3"/>
      <c r="B86" s="33" t="s">
        <v>90</v>
      </c>
      <c r="C86" s="30" t="s">
        <v>91</v>
      </c>
      <c r="D86" s="244">
        <v>38</v>
      </c>
      <c r="E86" s="244">
        <v>101</v>
      </c>
      <c r="F86" s="244" t="s">
        <v>582</v>
      </c>
    </row>
    <row r="87" spans="1:6" ht="23" x14ac:dyDescent="0.25">
      <c r="A87" s="3"/>
      <c r="B87" s="33" t="s">
        <v>92</v>
      </c>
      <c r="C87" s="30" t="s">
        <v>93</v>
      </c>
      <c r="D87" s="246">
        <v>31482</v>
      </c>
      <c r="E87" s="246">
        <v>28924</v>
      </c>
      <c r="F87" s="246" t="s">
        <v>582</v>
      </c>
    </row>
    <row r="88" spans="1:6" ht="23" x14ac:dyDescent="0.25">
      <c r="A88" s="3"/>
      <c r="B88" s="33" t="s">
        <v>94</v>
      </c>
      <c r="C88" s="30" t="s">
        <v>95</v>
      </c>
      <c r="D88" s="244">
        <v>0</v>
      </c>
      <c r="E88" s="244">
        <v>0</v>
      </c>
      <c r="F88" s="244" t="s">
        <v>582</v>
      </c>
    </row>
    <row r="89" spans="1:6" ht="34.5" x14ac:dyDescent="0.25">
      <c r="A89" s="3"/>
      <c r="B89" s="33" t="s">
        <v>96</v>
      </c>
      <c r="C89" s="30" t="s">
        <v>97</v>
      </c>
      <c r="D89" s="246" t="s">
        <v>582</v>
      </c>
      <c r="E89" s="246" t="s">
        <v>582</v>
      </c>
      <c r="F89" s="246" t="s">
        <v>582</v>
      </c>
    </row>
    <row r="90" spans="1:6" x14ac:dyDescent="0.25">
      <c r="A90" s="1"/>
    </row>
    <row r="91" spans="1:6" ht="27" customHeight="1" x14ac:dyDescent="0.3">
      <c r="A91" s="3"/>
      <c r="B91" s="34"/>
      <c r="C91" s="790" t="s">
        <v>98</v>
      </c>
      <c r="D91" s="544"/>
      <c r="E91" s="544"/>
      <c r="F91" s="544"/>
    </row>
    <row r="92" spans="1:6" ht="14.25" customHeight="1" x14ac:dyDescent="0.25">
      <c r="A92" s="3"/>
      <c r="B92" s="34"/>
      <c r="C92" s="36" t="s">
        <v>99</v>
      </c>
      <c r="D92" s="35"/>
      <c r="E92" s="35"/>
      <c r="F92" s="35"/>
    </row>
    <row r="93" spans="1:6" ht="29.25" customHeight="1" x14ac:dyDescent="0.3">
      <c r="A93" s="3"/>
      <c r="B93" s="34"/>
      <c r="C93" s="788" t="s">
        <v>1497</v>
      </c>
      <c r="D93" s="788"/>
      <c r="E93" s="788"/>
      <c r="F93" s="788"/>
    </row>
    <row r="94" spans="1:6" ht="14.25" customHeight="1" x14ac:dyDescent="0.3">
      <c r="A94" s="3"/>
      <c r="B94" s="34"/>
      <c r="C94" s="787" t="s">
        <v>100</v>
      </c>
      <c r="D94" s="788"/>
      <c r="E94" s="788"/>
      <c r="F94" s="788"/>
    </row>
    <row r="95" spans="1:6" ht="14.25" customHeight="1" x14ac:dyDescent="0.3">
      <c r="A95" s="3"/>
      <c r="B95" s="34"/>
      <c r="C95" s="787" t="s">
        <v>101</v>
      </c>
      <c r="D95" s="788"/>
      <c r="E95" s="788"/>
      <c r="F95" s="788"/>
    </row>
    <row r="96" spans="1:6" ht="14.25" customHeight="1" x14ac:dyDescent="0.25">
      <c r="A96" s="3"/>
      <c r="B96" s="34"/>
      <c r="C96" s="787" t="s">
        <v>102</v>
      </c>
      <c r="D96" s="787"/>
      <c r="E96" s="787"/>
      <c r="F96" s="787"/>
    </row>
    <row r="97" spans="1:6" ht="14.25" customHeight="1" x14ac:dyDescent="0.3">
      <c r="A97" s="3"/>
      <c r="B97" s="34"/>
      <c r="C97" s="787" t="s">
        <v>103</v>
      </c>
      <c r="D97" s="788"/>
      <c r="E97" s="788"/>
      <c r="F97" s="788"/>
    </row>
    <row r="98" spans="1:6" ht="14.25" customHeight="1" x14ac:dyDescent="0.25">
      <c r="A98" s="3"/>
      <c r="B98" s="34"/>
      <c r="C98" s="787" t="s">
        <v>104</v>
      </c>
      <c r="D98" s="787"/>
      <c r="E98" s="787"/>
      <c r="F98" s="787"/>
    </row>
    <row r="99" spans="1:6" ht="14.25" customHeight="1" x14ac:dyDescent="0.25">
      <c r="A99" s="3"/>
      <c r="B99" s="34"/>
      <c r="C99" s="787" t="s">
        <v>105</v>
      </c>
      <c r="D99" s="787"/>
      <c r="E99" s="787"/>
      <c r="F99" s="787"/>
    </row>
    <row r="100" spans="1:6" ht="27.75" customHeight="1" x14ac:dyDescent="0.25">
      <c r="A100" s="3"/>
      <c r="B100" s="34"/>
      <c r="C100" s="787" t="s">
        <v>106</v>
      </c>
      <c r="D100" s="787"/>
      <c r="E100" s="787"/>
      <c r="F100" s="787"/>
    </row>
    <row r="101" spans="1:6" ht="13" x14ac:dyDescent="0.3">
      <c r="A101" s="3"/>
      <c r="B101" s="34"/>
      <c r="C101" s="593" t="s">
        <v>107</v>
      </c>
      <c r="D101" s="593"/>
      <c r="E101" s="593"/>
      <c r="F101" s="593"/>
    </row>
    <row r="102" spans="1:6" x14ac:dyDescent="0.25"/>
    <row r="103" spans="1:6" ht="53.25" customHeight="1" x14ac:dyDescent="0.25">
      <c r="A103" s="3" t="s">
        <v>108</v>
      </c>
      <c r="B103" s="802" t="s">
        <v>1498</v>
      </c>
      <c r="C103" s="721"/>
      <c r="D103" s="721"/>
      <c r="E103" s="721"/>
      <c r="F103" s="247">
        <v>190</v>
      </c>
    </row>
    <row r="104" spans="1:6" ht="66" customHeight="1" x14ac:dyDescent="0.25">
      <c r="A104" s="38"/>
      <c r="B104" s="803"/>
      <c r="C104" s="803"/>
      <c r="D104" s="803"/>
      <c r="E104" s="803"/>
      <c r="F104" s="804"/>
    </row>
    <row r="105" spans="1:6" ht="28.5" customHeight="1" x14ac:dyDescent="0.25">
      <c r="A105" s="559" t="s">
        <v>109</v>
      </c>
      <c r="B105" s="559"/>
      <c r="C105" s="559"/>
      <c r="D105" s="559"/>
      <c r="E105" s="559"/>
      <c r="F105" s="559"/>
    </row>
    <row r="106" spans="1:6" ht="32.25" customHeight="1" x14ac:dyDescent="0.25">
      <c r="A106" s="551" t="s">
        <v>110</v>
      </c>
      <c r="B106" s="551"/>
      <c r="C106" s="551"/>
      <c r="D106" s="551"/>
      <c r="E106" s="551"/>
      <c r="F106" s="551"/>
    </row>
    <row r="107" spans="1:6" ht="47.25" customHeight="1" thickBot="1" x14ac:dyDescent="0.3">
      <c r="A107" s="551" t="s">
        <v>111</v>
      </c>
      <c r="B107" s="559"/>
      <c r="C107" s="559"/>
      <c r="D107" s="559"/>
      <c r="E107" s="559"/>
      <c r="F107" s="559"/>
    </row>
    <row r="108" spans="1:6" ht="66" customHeight="1" x14ac:dyDescent="0.25">
      <c r="A108" s="791"/>
      <c r="B108" s="792" t="s">
        <v>112</v>
      </c>
      <c r="C108" s="793"/>
      <c r="D108" s="796" t="s">
        <v>113</v>
      </c>
      <c r="E108" s="798" t="s">
        <v>1891</v>
      </c>
      <c r="F108" s="800" t="s">
        <v>114</v>
      </c>
    </row>
    <row r="109" spans="1:6" ht="80.25" customHeight="1" thickBot="1" x14ac:dyDescent="0.3">
      <c r="A109" s="791"/>
      <c r="B109" s="794"/>
      <c r="C109" s="795"/>
      <c r="D109" s="797"/>
      <c r="E109" s="799"/>
      <c r="F109" s="801"/>
    </row>
    <row r="110" spans="1:6" ht="66" customHeight="1" x14ac:dyDescent="0.25">
      <c r="A110" s="38"/>
      <c r="B110" s="41" t="s">
        <v>62</v>
      </c>
      <c r="C110" s="42" t="s">
        <v>115</v>
      </c>
      <c r="D110" s="248">
        <v>104</v>
      </c>
      <c r="E110" s="248">
        <v>55</v>
      </c>
      <c r="F110" s="249">
        <v>25821</v>
      </c>
    </row>
    <row r="111" spans="1:6" ht="56.25" customHeight="1" x14ac:dyDescent="0.25">
      <c r="A111" s="38"/>
      <c r="B111" s="41" t="s">
        <v>63</v>
      </c>
      <c r="C111" s="43" t="s">
        <v>116</v>
      </c>
      <c r="D111" s="248">
        <v>103</v>
      </c>
      <c r="E111" s="248">
        <v>54</v>
      </c>
      <c r="F111" s="249">
        <v>22058</v>
      </c>
    </row>
    <row r="112" spans="1:6" ht="33" customHeight="1" x14ac:dyDescent="0.25">
      <c r="A112" s="38"/>
      <c r="B112" s="41" t="s">
        <v>65</v>
      </c>
      <c r="C112" s="44" t="s">
        <v>117</v>
      </c>
      <c r="D112" s="248">
        <v>0</v>
      </c>
      <c r="E112" s="248">
        <v>0</v>
      </c>
      <c r="F112" s="249">
        <v>0</v>
      </c>
    </row>
    <row r="113" spans="1:256" ht="35.25" customHeight="1" x14ac:dyDescent="0.25">
      <c r="A113" s="38"/>
      <c r="B113" s="41" t="s">
        <v>67</v>
      </c>
      <c r="C113" s="44" t="s">
        <v>118</v>
      </c>
      <c r="D113" s="248">
        <v>0</v>
      </c>
      <c r="E113" s="248">
        <v>0</v>
      </c>
      <c r="F113" s="249">
        <v>0</v>
      </c>
    </row>
    <row r="114" spans="1:256" ht="36.75" customHeight="1" x14ac:dyDescent="0.25">
      <c r="A114" s="38"/>
      <c r="B114" s="41" t="s">
        <v>69</v>
      </c>
      <c r="C114" s="44" t="s">
        <v>119</v>
      </c>
      <c r="D114" s="248">
        <v>14</v>
      </c>
      <c r="E114" s="248">
        <v>7</v>
      </c>
      <c r="F114" s="249">
        <v>29529</v>
      </c>
      <c r="G114" s="45"/>
      <c r="H114" s="177"/>
      <c r="I114" s="177"/>
      <c r="J114" s="177"/>
      <c r="K114" s="177"/>
      <c r="L114" s="177"/>
      <c r="M114" s="177"/>
      <c r="N114" s="177"/>
      <c r="O114" s="177"/>
      <c r="P114" s="177"/>
      <c r="Q114" s="177"/>
      <c r="R114" s="177"/>
      <c r="S114" s="177"/>
      <c r="T114" s="177"/>
      <c r="U114" s="177"/>
      <c r="V114" s="177"/>
      <c r="W114" s="177"/>
      <c r="X114" s="177"/>
      <c r="Y114" s="177"/>
      <c r="Z114" s="177"/>
      <c r="AA114" s="177"/>
      <c r="AB114" s="177"/>
      <c r="AC114" s="177"/>
      <c r="AD114" s="177"/>
      <c r="AE114" s="177"/>
      <c r="AF114" s="177"/>
      <c r="AG114" s="177"/>
      <c r="AH114" s="177"/>
      <c r="AI114" s="177"/>
      <c r="AJ114" s="177"/>
      <c r="AK114" s="177"/>
      <c r="AL114" s="177"/>
      <c r="AM114" s="177"/>
      <c r="AN114" s="177"/>
      <c r="AO114" s="177"/>
      <c r="AP114" s="177"/>
      <c r="AQ114" s="177"/>
      <c r="AR114" s="177"/>
      <c r="AS114" s="177"/>
      <c r="AT114" s="177"/>
      <c r="AU114" s="177"/>
      <c r="AV114" s="177"/>
      <c r="AW114" s="177"/>
      <c r="AX114" s="177"/>
      <c r="AY114" s="177"/>
      <c r="AZ114" s="177"/>
      <c r="BA114" s="177"/>
      <c r="BB114" s="177"/>
      <c r="BC114" s="177"/>
      <c r="BD114" s="177"/>
      <c r="BE114" s="177"/>
      <c r="BF114" s="177"/>
      <c r="BG114" s="177"/>
      <c r="BH114" s="177"/>
      <c r="BI114" s="177"/>
      <c r="BJ114" s="177"/>
      <c r="BK114" s="177"/>
      <c r="BL114" s="177"/>
      <c r="BM114" s="177"/>
      <c r="BN114" s="177"/>
      <c r="BO114" s="177"/>
      <c r="BP114" s="177"/>
      <c r="BQ114" s="177"/>
      <c r="BR114" s="177"/>
      <c r="BS114" s="177"/>
      <c r="BT114" s="177"/>
      <c r="BU114" s="177"/>
      <c r="BV114" s="177"/>
      <c r="BW114" s="177"/>
      <c r="BX114" s="177"/>
      <c r="BY114" s="177"/>
      <c r="BZ114" s="177"/>
      <c r="CA114" s="177"/>
      <c r="CB114" s="177"/>
      <c r="CC114" s="177"/>
      <c r="CD114" s="177"/>
      <c r="CE114" s="177"/>
      <c r="CF114" s="177"/>
      <c r="CG114" s="177"/>
      <c r="CH114" s="177"/>
      <c r="CI114" s="177"/>
      <c r="CJ114" s="177"/>
      <c r="CK114" s="177"/>
      <c r="CL114" s="177"/>
      <c r="CM114" s="177"/>
      <c r="CN114" s="177"/>
      <c r="CO114" s="177"/>
      <c r="CP114" s="177"/>
      <c r="CQ114" s="177"/>
      <c r="CR114" s="177"/>
      <c r="CS114" s="177"/>
      <c r="CT114" s="177"/>
      <c r="CU114" s="177"/>
      <c r="CV114" s="177"/>
      <c r="CW114" s="177"/>
      <c r="CX114" s="177"/>
      <c r="CY114" s="177"/>
      <c r="CZ114" s="177"/>
      <c r="DA114" s="177"/>
      <c r="DB114" s="177"/>
      <c r="DC114" s="177"/>
      <c r="DD114" s="177"/>
      <c r="DE114" s="177"/>
      <c r="DF114" s="177"/>
      <c r="DG114" s="177"/>
      <c r="DH114" s="177"/>
      <c r="DI114" s="177"/>
      <c r="DJ114" s="177"/>
      <c r="DK114" s="177"/>
      <c r="DL114" s="177"/>
      <c r="DM114" s="177"/>
      <c r="DN114" s="177"/>
      <c r="DO114" s="177"/>
      <c r="DP114" s="177"/>
      <c r="DQ114" s="177"/>
      <c r="DR114" s="177"/>
      <c r="DS114" s="177"/>
      <c r="DT114" s="177"/>
      <c r="DU114" s="177"/>
      <c r="DV114" s="177"/>
      <c r="DW114" s="177"/>
      <c r="DX114" s="177"/>
      <c r="DY114" s="177"/>
      <c r="DZ114" s="177"/>
      <c r="EA114" s="177"/>
      <c r="EB114" s="177"/>
      <c r="EC114" s="177"/>
      <c r="ED114" s="177"/>
      <c r="EE114" s="177"/>
      <c r="EF114" s="177"/>
      <c r="EG114" s="177"/>
      <c r="EH114" s="177"/>
      <c r="EI114" s="177"/>
      <c r="EJ114" s="177"/>
      <c r="EK114" s="177"/>
      <c r="EL114" s="177"/>
      <c r="EM114" s="177"/>
      <c r="EN114" s="177"/>
      <c r="EO114" s="177"/>
      <c r="EP114" s="177"/>
      <c r="EQ114" s="177"/>
      <c r="ER114" s="177"/>
      <c r="ES114" s="177"/>
      <c r="ET114" s="177"/>
      <c r="EU114" s="177"/>
      <c r="EV114" s="177"/>
      <c r="EW114" s="177"/>
      <c r="EX114" s="177"/>
      <c r="EY114" s="177"/>
      <c r="EZ114" s="177"/>
      <c r="FA114" s="177"/>
      <c r="FB114" s="177"/>
      <c r="FC114" s="177"/>
      <c r="FD114" s="177"/>
      <c r="FE114" s="177"/>
      <c r="FF114" s="177"/>
      <c r="FG114" s="177"/>
      <c r="FH114" s="177"/>
      <c r="FI114" s="177"/>
      <c r="FJ114" s="177"/>
      <c r="FK114" s="177"/>
      <c r="FL114" s="177"/>
      <c r="FM114" s="177"/>
      <c r="FN114" s="177"/>
      <c r="FO114" s="177"/>
      <c r="FP114" s="177"/>
      <c r="FQ114" s="177"/>
      <c r="FR114" s="177"/>
      <c r="FS114" s="177"/>
      <c r="FT114" s="177"/>
      <c r="FU114" s="177"/>
      <c r="FV114" s="177"/>
      <c r="FW114" s="177"/>
      <c r="FX114" s="177"/>
      <c r="FY114" s="177"/>
      <c r="FZ114" s="177"/>
      <c r="GA114" s="177"/>
      <c r="GB114" s="177"/>
      <c r="GC114" s="177"/>
      <c r="GD114" s="177"/>
      <c r="GE114" s="177"/>
      <c r="GF114" s="177"/>
      <c r="GG114" s="177"/>
      <c r="GH114" s="177"/>
      <c r="GI114" s="177"/>
      <c r="GJ114" s="177"/>
      <c r="GK114" s="177"/>
      <c r="GL114" s="177"/>
      <c r="GM114" s="177"/>
      <c r="GN114" s="177"/>
      <c r="GO114" s="177"/>
      <c r="GP114" s="177"/>
      <c r="GQ114" s="177"/>
      <c r="GR114" s="177"/>
      <c r="GS114" s="177"/>
      <c r="GT114" s="177"/>
      <c r="GU114" s="177"/>
      <c r="GV114" s="177"/>
      <c r="GW114" s="177"/>
      <c r="GX114" s="177"/>
      <c r="GY114" s="177"/>
      <c r="GZ114" s="177"/>
      <c r="HA114" s="177"/>
      <c r="HB114" s="177"/>
      <c r="HC114" s="177"/>
      <c r="HD114" s="177"/>
      <c r="HE114" s="177"/>
      <c r="HF114" s="177"/>
      <c r="HG114" s="177"/>
      <c r="HH114" s="177"/>
      <c r="HI114" s="177"/>
      <c r="HJ114" s="177"/>
      <c r="HK114" s="177"/>
      <c r="HL114" s="177"/>
      <c r="HM114" s="177"/>
      <c r="HN114" s="177"/>
      <c r="HO114" s="177"/>
      <c r="HP114" s="177"/>
      <c r="HQ114" s="177"/>
      <c r="HR114" s="177"/>
      <c r="HS114" s="177"/>
      <c r="HT114" s="177"/>
      <c r="HU114" s="177"/>
      <c r="HV114" s="177"/>
      <c r="HW114" s="177"/>
      <c r="HX114" s="177"/>
      <c r="HY114" s="177"/>
      <c r="HZ114" s="177"/>
      <c r="IA114" s="177"/>
      <c r="IB114" s="177"/>
      <c r="IC114" s="177"/>
      <c r="ID114" s="177"/>
      <c r="IE114" s="177"/>
      <c r="IF114" s="177"/>
      <c r="IG114" s="177"/>
      <c r="IH114" s="177"/>
      <c r="II114" s="177"/>
      <c r="IJ114" s="177"/>
      <c r="IK114" s="177"/>
      <c r="IL114" s="177"/>
      <c r="IM114" s="177"/>
      <c r="IN114" s="177"/>
      <c r="IO114" s="177"/>
      <c r="IP114" s="177"/>
      <c r="IQ114" s="177"/>
      <c r="IR114" s="177"/>
      <c r="IS114" s="177"/>
      <c r="IT114" s="177"/>
      <c r="IU114" s="177"/>
      <c r="IV114" s="177"/>
    </row>
    <row r="115" spans="1:256" ht="13" x14ac:dyDescent="0.25">
      <c r="A115" s="3"/>
    </row>
    <row r="116" spans="1:256" ht="18.75" customHeight="1" x14ac:dyDescent="0.25">
      <c r="B116" s="806" t="s">
        <v>1909</v>
      </c>
      <c r="C116" s="550"/>
      <c r="D116" s="550"/>
      <c r="E116" s="550"/>
      <c r="F116" s="550"/>
    </row>
    <row r="117" spans="1:256" ht="15" customHeight="1" x14ac:dyDescent="0.25">
      <c r="B117" s="46"/>
      <c r="C117" s="741" t="s">
        <v>120</v>
      </c>
      <c r="D117" s="550"/>
      <c r="E117" s="550"/>
      <c r="F117" s="550"/>
    </row>
    <row r="118" spans="1:256" ht="12" customHeight="1" x14ac:dyDescent="0.25">
      <c r="B118" s="46"/>
      <c r="C118" s="5"/>
      <c r="D118" s="5"/>
      <c r="E118" s="5"/>
      <c r="F118" s="5"/>
    </row>
    <row r="119" spans="1:256" ht="26.25" customHeight="1" x14ac:dyDescent="0.25">
      <c r="A119" s="3" t="s">
        <v>121</v>
      </c>
      <c r="B119" s="550" t="s">
        <v>1910</v>
      </c>
      <c r="C119" s="550"/>
      <c r="D119" s="550"/>
      <c r="E119" s="550"/>
      <c r="F119" s="550"/>
    </row>
    <row r="120" spans="1:256" ht="14.25" customHeight="1" x14ac:dyDescent="0.25">
      <c r="A120" s="3"/>
      <c r="B120" s="5"/>
      <c r="C120" s="5"/>
      <c r="D120" s="5"/>
      <c r="E120" s="5"/>
      <c r="F120" s="5"/>
    </row>
    <row r="121" spans="1:256" ht="16" customHeight="1" x14ac:dyDescent="0.25">
      <c r="A121" s="60"/>
      <c r="B121" s="782" t="s">
        <v>122</v>
      </c>
      <c r="C121" s="782"/>
      <c r="D121" s="782"/>
      <c r="E121" s="226" t="b">
        <v>1</v>
      </c>
      <c r="G121" s="1" t="str">
        <f>IF(E121=TRUE, "Institutional need-based grant or scholarship aid is available.|", "")</f>
        <v>Institutional need-based grant or scholarship aid is available.|</v>
      </c>
      <c r="H121" s="1" t="str">
        <f>_xlfn.CONCAT($G$121:$G$123)</f>
        <v>Institutional need-based grant or scholarship aid is available.|</v>
      </c>
    </row>
    <row r="122" spans="1:256" ht="16" customHeight="1" x14ac:dyDescent="0.25">
      <c r="A122" s="60"/>
      <c r="B122" s="782" t="s">
        <v>123</v>
      </c>
      <c r="C122" s="782"/>
      <c r="D122" s="782"/>
      <c r="E122" s="226" t="b">
        <v>0</v>
      </c>
      <c r="G122" s="1" t="str">
        <f>IF($E$122=TRUE, "Institutional non-need-based grant or scholarship aid is available.|", "")</f>
        <v/>
      </c>
    </row>
    <row r="123" spans="1:256" ht="16" customHeight="1" x14ac:dyDescent="0.25">
      <c r="A123" s="60"/>
      <c r="B123" s="782" t="s">
        <v>124</v>
      </c>
      <c r="C123" s="782"/>
      <c r="D123" s="782"/>
      <c r="E123" s="226" t="b">
        <v>0</v>
      </c>
      <c r="G123" s="1" t="str">
        <f>IF($E$123=TRUE, "Institutional grant and scholarship aid is not available.|", "")</f>
        <v/>
      </c>
    </row>
    <row r="124" spans="1:256" x14ac:dyDescent="0.25"/>
    <row r="125" spans="1:256" ht="40.5" customHeight="1" x14ac:dyDescent="0.25">
      <c r="A125" s="3"/>
      <c r="B125" s="718" t="s">
        <v>1917</v>
      </c>
      <c r="C125" s="721"/>
      <c r="D125" s="721"/>
      <c r="E125" s="722"/>
      <c r="F125" s="250">
        <v>129</v>
      </c>
    </row>
    <row r="126" spans="1:256" x14ac:dyDescent="0.25">
      <c r="B126" s="5"/>
      <c r="C126" s="47"/>
      <c r="D126" s="5"/>
      <c r="E126" s="5"/>
      <c r="F126" s="48"/>
    </row>
    <row r="127" spans="1:256" ht="25.5" customHeight="1" x14ac:dyDescent="0.25">
      <c r="A127" s="3"/>
      <c r="B127" s="718" t="s">
        <v>1911</v>
      </c>
      <c r="C127" s="721"/>
      <c r="D127" s="721"/>
      <c r="E127" s="722"/>
      <c r="F127" s="251">
        <v>51400</v>
      </c>
    </row>
    <row r="128" spans="1:256" x14ac:dyDescent="0.25">
      <c r="F128" s="49"/>
    </row>
    <row r="129" spans="1:8" ht="26.25" customHeight="1" x14ac:dyDescent="0.25">
      <c r="A129" s="3"/>
      <c r="B129" s="718" t="s">
        <v>1912</v>
      </c>
      <c r="C129" s="721"/>
      <c r="D129" s="721"/>
      <c r="E129" s="722"/>
      <c r="F129" s="251">
        <v>6630596</v>
      </c>
    </row>
    <row r="130" spans="1:8" ht="26.25" customHeight="1" x14ac:dyDescent="0.25">
      <c r="A130" s="3"/>
      <c r="B130" s="5"/>
      <c r="C130" s="5"/>
      <c r="D130" s="5"/>
      <c r="E130" s="5"/>
      <c r="F130" s="50"/>
    </row>
    <row r="131" spans="1:8" ht="12.75" customHeight="1" x14ac:dyDescent="0.25">
      <c r="A131" s="3" t="s">
        <v>125</v>
      </c>
      <c r="B131" s="550" t="s">
        <v>1913</v>
      </c>
      <c r="C131" s="550"/>
      <c r="D131" s="550"/>
      <c r="E131" s="550"/>
      <c r="F131" s="550"/>
    </row>
    <row r="132" spans="1:8" ht="12.75" customHeight="1" x14ac:dyDescent="0.25">
      <c r="A132" s="3"/>
      <c r="B132" s="5"/>
      <c r="C132" s="5"/>
      <c r="D132" s="5"/>
      <c r="E132" s="5"/>
      <c r="F132" s="5"/>
    </row>
    <row r="133" spans="1:8" ht="17" customHeight="1" x14ac:dyDescent="0.25">
      <c r="A133" s="60"/>
      <c r="B133" s="782" t="s">
        <v>126</v>
      </c>
      <c r="C133" s="805"/>
      <c r="D133" s="805"/>
      <c r="E133" s="252" t="b">
        <v>1</v>
      </c>
      <c r="H133" s="1" t="str" cm="1">
        <f t="array" ref="H133">_xlfn.IFS($E$133=TRUE, "Institution's own financial aid form|", $E$133=FALSE, "")</f>
        <v>Institution's own financial aid form|</v>
      </c>
    </row>
    <row r="134" spans="1:8" ht="17" customHeight="1" x14ac:dyDescent="0.25">
      <c r="A134" s="60"/>
      <c r="B134" s="782" t="s">
        <v>127</v>
      </c>
      <c r="C134" s="805"/>
      <c r="D134" s="805"/>
      <c r="E134" s="252" t="b">
        <v>0</v>
      </c>
      <c r="H134" s="1" t="str" cm="1">
        <f t="array" ref="H134">_xlfn.IFS($E$134=TRUE, "CSS/Financial Aid PROFILE|", $E$134=FALSE, "")</f>
        <v/>
      </c>
    </row>
    <row r="135" spans="1:8" ht="17" customHeight="1" x14ac:dyDescent="0.25">
      <c r="A135" s="60"/>
      <c r="B135" s="782" t="s">
        <v>128</v>
      </c>
      <c r="C135" s="805"/>
      <c r="D135" s="805"/>
      <c r="E135" s="252" t="b">
        <v>0</v>
      </c>
      <c r="H135" s="1" t="str" cm="1">
        <f t="array" ref="H135">_xlfn.IFS($E$135=TRUE, "International Student's Financial Aid Application|", $E$135=FALSE, "")</f>
        <v/>
      </c>
    </row>
    <row r="136" spans="1:8" ht="17" customHeight="1" x14ac:dyDescent="0.25">
      <c r="A136" s="60"/>
      <c r="B136" s="782" t="s">
        <v>129</v>
      </c>
      <c r="C136" s="805"/>
      <c r="D136" s="805"/>
      <c r="E136" s="252" t="b">
        <v>0</v>
      </c>
      <c r="H136" s="1" t="str" cm="1">
        <f t="array" ref="H136">_xlfn.IFS($E$136=TRUE, "International Student's Certification of Finances|", $E$136=FALSE, "")</f>
        <v/>
      </c>
    </row>
    <row r="137" spans="1:8" ht="17" customHeight="1" x14ac:dyDescent="0.25">
      <c r="A137" s="60"/>
      <c r="B137" s="569" t="s">
        <v>130</v>
      </c>
      <c r="C137" s="569"/>
      <c r="D137" s="569"/>
      <c r="E137" s="252" t="b">
        <v>0</v>
      </c>
      <c r="H137" s="1" t="str" cm="1">
        <f t="array" ref="H137">_xlfn.IFS($E$137=TRUE, "Other|", $E$137=FALSE, "")</f>
        <v/>
      </c>
    </row>
    <row r="138" spans="1:8" ht="13" x14ac:dyDescent="0.25">
      <c r="A138" s="3"/>
      <c r="B138" s="557" t="s">
        <v>582</v>
      </c>
      <c r="C138" s="557"/>
      <c r="D138" s="557"/>
    </row>
    <row r="139" spans="1:8" x14ac:dyDescent="0.25"/>
    <row r="140" spans="1:8" ht="15.5" x14ac:dyDescent="0.25">
      <c r="B140" s="53" t="s">
        <v>1918</v>
      </c>
    </row>
    <row r="141" spans="1:8" ht="12.75" customHeight="1" x14ac:dyDescent="0.25">
      <c r="B141" s="53"/>
    </row>
    <row r="142" spans="1:8" ht="13" x14ac:dyDescent="0.25">
      <c r="A142" s="3" t="s">
        <v>131</v>
      </c>
      <c r="B142" s="550" t="s">
        <v>1914</v>
      </c>
      <c r="C142" s="550"/>
      <c r="D142" s="550"/>
      <c r="E142" s="550"/>
      <c r="F142" s="550"/>
    </row>
    <row r="143" spans="1:8" ht="13" x14ac:dyDescent="0.25">
      <c r="A143" s="3"/>
      <c r="B143" s="5"/>
      <c r="C143" s="5"/>
      <c r="D143" s="5"/>
      <c r="E143" s="5"/>
      <c r="F143" s="5"/>
    </row>
    <row r="144" spans="1:8" ht="16" customHeight="1" x14ac:dyDescent="0.25">
      <c r="A144" s="60"/>
      <c r="B144" s="782" t="s">
        <v>132</v>
      </c>
      <c r="C144" s="805"/>
      <c r="D144" s="805"/>
      <c r="E144" s="252" t="b">
        <v>1</v>
      </c>
      <c r="H144" s="1" t="str" cm="1">
        <f t="array" ref="H144">_xlfn.IFS($E$144=TRUE, "FAFSA|",$E$144=FALSE, "")</f>
        <v>FAFSA|</v>
      </c>
    </row>
    <row r="145" spans="1:8" ht="16" customHeight="1" x14ac:dyDescent="0.25">
      <c r="A145" s="60"/>
      <c r="B145" s="782" t="s">
        <v>133</v>
      </c>
      <c r="C145" s="805"/>
      <c r="D145" s="805"/>
      <c r="E145" s="252" t="b">
        <v>0</v>
      </c>
      <c r="H145" s="1" t="str" cm="1">
        <f t="array" ref="H145">_xlfn.IFS($E$145=TRUE, "Institution’s own financial aid form|",$E$145=FALSE, "")</f>
        <v/>
      </c>
    </row>
    <row r="146" spans="1:8" ht="16" customHeight="1" x14ac:dyDescent="0.25">
      <c r="A146" s="60"/>
      <c r="B146" s="782" t="s">
        <v>127</v>
      </c>
      <c r="C146" s="805"/>
      <c r="D146" s="805"/>
      <c r="E146" s="252" t="b">
        <v>0</v>
      </c>
      <c r="H146" s="1" t="str" cm="1">
        <f t="array" ref="H146">_xlfn.IFS($E$146=TRUE, "CSS/Financial Aid PROFILE|",$E$146=FALSE, "")</f>
        <v/>
      </c>
    </row>
    <row r="147" spans="1:8" ht="16" customHeight="1" x14ac:dyDescent="0.25">
      <c r="A147" s="60"/>
      <c r="B147" s="782" t="s">
        <v>134</v>
      </c>
      <c r="C147" s="805"/>
      <c r="D147" s="805"/>
      <c r="E147" s="252" t="b">
        <v>0</v>
      </c>
      <c r="H147" s="1" t="str" cm="1">
        <f t="array" ref="H147">_xlfn.IFS($E$147=TRUE, "State aid form|",$E$147=FALSE, "")</f>
        <v/>
      </c>
    </row>
    <row r="148" spans="1:8" ht="16" customHeight="1" x14ac:dyDescent="0.25">
      <c r="A148" s="60"/>
      <c r="B148" s="782" t="s">
        <v>135</v>
      </c>
      <c r="C148" s="805"/>
      <c r="D148" s="805"/>
      <c r="E148" s="252" t="b">
        <v>0</v>
      </c>
      <c r="H148" s="1" t="str" cm="1">
        <f t="array" ref="H148">_xlfn.IFS($E$148=TRUE, "Noncustodial PROFILE|",$E$148=FALSE, "")</f>
        <v/>
      </c>
    </row>
    <row r="149" spans="1:8" ht="16" customHeight="1" x14ac:dyDescent="0.25">
      <c r="A149" s="60"/>
      <c r="B149" s="782" t="s">
        <v>136</v>
      </c>
      <c r="C149" s="805"/>
      <c r="D149" s="805"/>
      <c r="E149" s="252" t="b">
        <v>0</v>
      </c>
      <c r="H149" s="1" t="str" cm="1">
        <f t="array" ref="H149">_xlfn.IFS($E$149=TRUE, "Business/Farm Supplement|",$E$149=FALSE, "")</f>
        <v/>
      </c>
    </row>
    <row r="150" spans="1:8" ht="16" customHeight="1" x14ac:dyDescent="0.25">
      <c r="A150" s="60"/>
      <c r="B150" s="569" t="s">
        <v>130</v>
      </c>
      <c r="C150" s="569"/>
      <c r="D150" s="569"/>
      <c r="E150" s="252" t="b">
        <v>0</v>
      </c>
      <c r="H150" s="1" t="str" cm="1">
        <f t="array" ref="H150">_xlfn.IFS($E$150=TRUE, "Other|",$E$150=FALSE, "")</f>
        <v/>
      </c>
    </row>
    <row r="151" spans="1:8" ht="13" x14ac:dyDescent="0.25">
      <c r="A151" s="3"/>
      <c r="B151" s="557" t="s">
        <v>582</v>
      </c>
      <c r="C151" s="557"/>
      <c r="D151" s="557"/>
    </row>
    <row r="152" spans="1:8" x14ac:dyDescent="0.25"/>
    <row r="153" spans="1:8" ht="13" x14ac:dyDescent="0.25">
      <c r="A153" s="3" t="s">
        <v>137</v>
      </c>
      <c r="B153" s="703" t="s">
        <v>1915</v>
      </c>
      <c r="C153" s="703"/>
      <c r="D153" s="703"/>
      <c r="E153" s="703"/>
      <c r="F153" s="703"/>
    </row>
    <row r="154" spans="1:8" ht="18.75" customHeight="1" x14ac:dyDescent="0.25">
      <c r="A154" s="3"/>
      <c r="B154" s="13"/>
      <c r="C154" s="51" t="s">
        <v>138</v>
      </c>
      <c r="D154" s="526">
        <v>44986</v>
      </c>
      <c r="E154" s="54"/>
      <c r="F154" s="55"/>
    </row>
    <row r="155" spans="1:8" ht="22.5" customHeight="1" x14ac:dyDescent="0.25">
      <c r="A155" s="3"/>
      <c r="B155" s="13"/>
      <c r="C155" s="51" t="s">
        <v>139</v>
      </c>
      <c r="D155" s="527">
        <v>44986</v>
      </c>
      <c r="E155" s="54"/>
    </row>
    <row r="156" spans="1:8" ht="11.25" customHeight="1" x14ac:dyDescent="0.25">
      <c r="A156" s="3"/>
      <c r="B156" s="13"/>
      <c r="C156" s="51"/>
      <c r="D156" s="56"/>
      <c r="E156" s="54"/>
    </row>
    <row r="157" spans="1:8" ht="17" customHeight="1" x14ac:dyDescent="0.25">
      <c r="A157" s="3"/>
      <c r="B157" s="141"/>
      <c r="C157" s="569" t="s">
        <v>140</v>
      </c>
      <c r="D157" s="253" t="b">
        <v>0</v>
      </c>
      <c r="E157" s="57"/>
      <c r="H157" s="1" t="str" cm="1">
        <f t="array" ref="H157">_xlfn.IFS($D$157=TRUE, "No", $D$157=FALSE, "Yes")</f>
        <v>Yes</v>
      </c>
    </row>
    <row r="158" spans="1:8" x14ac:dyDescent="0.25">
      <c r="B158" s="57"/>
      <c r="C158" s="569"/>
    </row>
    <row r="159" spans="1:8" x14ac:dyDescent="0.25">
      <c r="B159" s="52"/>
      <c r="C159" s="52"/>
    </row>
    <row r="160" spans="1:8" ht="20" customHeight="1" x14ac:dyDescent="0.25">
      <c r="A160" s="3" t="s">
        <v>141</v>
      </c>
      <c r="B160" s="550" t="s">
        <v>1916</v>
      </c>
      <c r="C160" s="550"/>
      <c r="D160" s="550"/>
      <c r="E160" s="550"/>
      <c r="F160" s="550"/>
    </row>
    <row r="161" spans="1:8" ht="13" x14ac:dyDescent="0.25">
      <c r="A161" s="3"/>
      <c r="B161" s="5"/>
      <c r="C161" s="5"/>
      <c r="D161" s="5"/>
      <c r="E161" s="5"/>
      <c r="F161" s="5"/>
    </row>
    <row r="162" spans="1:8" ht="13" x14ac:dyDescent="0.25">
      <c r="A162" s="3"/>
      <c r="C162" s="2" t="s">
        <v>142</v>
      </c>
      <c r="D162" s="56"/>
      <c r="E162" s="58"/>
      <c r="F162" s="55"/>
    </row>
    <row r="163" spans="1:8" ht="13" x14ac:dyDescent="0.25">
      <c r="A163" s="3"/>
      <c r="C163" s="528" t="s">
        <v>582</v>
      </c>
      <c r="D163" s="56"/>
      <c r="E163" s="58"/>
      <c r="F163" s="55"/>
    </row>
    <row r="164" spans="1:8" ht="13" x14ac:dyDescent="0.25">
      <c r="A164" s="3"/>
      <c r="B164" s="549"/>
      <c r="C164" s="549"/>
      <c r="D164" s="59"/>
      <c r="E164" s="60"/>
      <c r="F164" s="55"/>
    </row>
    <row r="165" spans="1:8" ht="13" x14ac:dyDescent="0.25">
      <c r="A165" s="3"/>
      <c r="C165" s="174" t="s">
        <v>143</v>
      </c>
      <c r="D165" s="12"/>
      <c r="E165" s="12"/>
      <c r="F165" s="55"/>
    </row>
    <row r="166" spans="1:8" ht="20" customHeight="1" x14ac:dyDescent="0.25">
      <c r="A166" s="3"/>
      <c r="B166" s="60"/>
      <c r="C166" s="175" t="s">
        <v>1108</v>
      </c>
      <c r="D166" s="254" t="s">
        <v>1993</v>
      </c>
      <c r="H166" s="1" t="str" cm="1">
        <f t="array" ref="H166">_xlfn.IFS(D166="YES", "Yes", D166="yes", "Yes", D166="Yes", "Yes", D166="NO", "No", D166="no", "No", D166="No", "No")</f>
        <v>Yes</v>
      </c>
    </row>
    <row r="167" spans="1:8" x14ac:dyDescent="0.25">
      <c r="B167" s="60"/>
      <c r="C167" s="51"/>
    </row>
    <row r="168" spans="1:8" x14ac:dyDescent="0.25">
      <c r="C168" s="61" t="s">
        <v>145</v>
      </c>
    </row>
    <row r="169" spans="1:8" x14ac:dyDescent="0.25">
      <c r="C169" s="529">
        <v>45231</v>
      </c>
    </row>
    <row r="170" spans="1:8" x14ac:dyDescent="0.25"/>
    <row r="171" spans="1:8" ht="20" customHeight="1" x14ac:dyDescent="0.25">
      <c r="A171" s="3" t="s">
        <v>146</v>
      </c>
      <c r="B171" s="703" t="s">
        <v>147</v>
      </c>
      <c r="C171" s="703"/>
    </row>
    <row r="172" spans="1:8" ht="16" customHeight="1" x14ac:dyDescent="0.25">
      <c r="A172" s="3"/>
      <c r="B172" s="807" t="s">
        <v>148</v>
      </c>
      <c r="C172" s="807"/>
      <c r="D172" s="525">
        <v>45047</v>
      </c>
    </row>
    <row r="173" spans="1:8" ht="16" customHeight="1" x14ac:dyDescent="0.25">
      <c r="A173" s="3"/>
      <c r="B173" s="807" t="s">
        <v>149</v>
      </c>
      <c r="C173" s="807"/>
      <c r="D173" s="238"/>
    </row>
    <row r="174" spans="1:8" x14ac:dyDescent="0.25"/>
    <row r="175" spans="1:8" ht="15.5" x14ac:dyDescent="0.25">
      <c r="B175" s="53" t="s">
        <v>150</v>
      </c>
    </row>
    <row r="176" spans="1:8" ht="20.25" customHeight="1" x14ac:dyDescent="0.25">
      <c r="B176" s="176" t="s">
        <v>151</v>
      </c>
    </row>
    <row r="177" spans="1:8" ht="13" x14ac:dyDescent="0.25">
      <c r="A177" s="3" t="s">
        <v>152</v>
      </c>
      <c r="B177" s="808" t="s">
        <v>153</v>
      </c>
      <c r="C177" s="808"/>
    </row>
    <row r="178" spans="1:8" ht="13" x14ac:dyDescent="0.25">
      <c r="A178" s="3"/>
      <c r="B178" s="703"/>
      <c r="C178" s="703"/>
      <c r="D178" s="703"/>
    </row>
    <row r="179" spans="1:8" ht="17" customHeight="1" x14ac:dyDescent="0.25">
      <c r="A179" s="60"/>
      <c r="B179" s="782" t="s">
        <v>154</v>
      </c>
      <c r="C179" s="782"/>
      <c r="D179" s="805"/>
      <c r="E179" s="226" t="b">
        <v>1</v>
      </c>
      <c r="H179" s="1" t="str" cm="1">
        <f t="array" ref="H179">_xlfn.IFS($E$179=TRUE, "Direct Subsidized Stafford Loans|", $E$179=FALSE, "")</f>
        <v>Direct Subsidized Stafford Loans|</v>
      </c>
    </row>
    <row r="180" spans="1:8" ht="17" customHeight="1" x14ac:dyDescent="0.25">
      <c r="A180" s="60"/>
      <c r="B180" s="782" t="s">
        <v>155</v>
      </c>
      <c r="C180" s="782"/>
      <c r="D180" s="782"/>
      <c r="E180" s="226" t="b">
        <v>1</v>
      </c>
      <c r="H180" s="1" t="str" cm="1">
        <f t="array" ref="H180">_xlfn.IFS($E$180=TRUE, " Direct Unsubsidized Stafford Loans|", $E$180=FALSE, "")</f>
        <v xml:space="preserve"> Direct Unsubsidized Stafford Loans|</v>
      </c>
    </row>
    <row r="181" spans="1:8" ht="17" customHeight="1" x14ac:dyDescent="0.25">
      <c r="A181" s="60"/>
      <c r="B181" s="782" t="s">
        <v>156</v>
      </c>
      <c r="C181" s="782"/>
      <c r="D181" s="782"/>
      <c r="E181" s="226" t="b">
        <v>1</v>
      </c>
      <c r="H181" s="1" t="str" cm="1">
        <f t="array" ref="H181">_xlfn.IFS($E$181=TRUE, "Direct PLUS Loans|", $E$181=FALSE, "")</f>
        <v>Direct PLUS Loans|</v>
      </c>
    </row>
    <row r="182" spans="1:8" ht="17" customHeight="1" x14ac:dyDescent="0.25">
      <c r="A182" s="60"/>
      <c r="B182" s="782" t="s">
        <v>157</v>
      </c>
      <c r="C182" s="782"/>
      <c r="D182" s="782"/>
      <c r="E182" s="226" t="b">
        <v>0</v>
      </c>
      <c r="H182" s="1" t="str" cm="1">
        <f t="array" ref="H182">_xlfn.IFS($E$182=TRUE, "Federal Perkins Loans|", $E$182=FALSE, "")</f>
        <v/>
      </c>
    </row>
    <row r="183" spans="1:8" ht="17" customHeight="1" x14ac:dyDescent="0.25">
      <c r="A183" s="60"/>
      <c r="B183" s="782" t="s">
        <v>158</v>
      </c>
      <c r="C183" s="782"/>
      <c r="D183" s="782"/>
      <c r="E183" s="226" t="b">
        <v>0</v>
      </c>
      <c r="H183" s="1" t="str" cm="1">
        <f t="array" ref="H183">_xlfn.IFS($E$183=TRUE, "Federal Nursing Loans|", $E$183=FALSE, "")</f>
        <v/>
      </c>
    </row>
    <row r="184" spans="1:8" ht="17" customHeight="1" x14ac:dyDescent="0.25">
      <c r="A184" s="60"/>
      <c r="B184" s="782" t="s">
        <v>159</v>
      </c>
      <c r="C184" s="782"/>
      <c r="D184" s="782"/>
      <c r="E184" s="226" t="b">
        <v>0</v>
      </c>
      <c r="H184" s="1" t="str" cm="1">
        <f t="array" ref="H184">_xlfn.IFS($E$184=TRUE, "State Loans|", $E$184=FALSE, "")</f>
        <v/>
      </c>
    </row>
    <row r="185" spans="1:8" ht="17" customHeight="1" x14ac:dyDescent="0.25">
      <c r="A185" s="60"/>
      <c r="B185" s="782" t="s">
        <v>160</v>
      </c>
      <c r="C185" s="782"/>
      <c r="D185" s="782"/>
      <c r="E185" s="226" t="b">
        <v>0</v>
      </c>
      <c r="H185" s="1" t="str" cm="1">
        <f t="array" ref="H185">_xlfn.IFS($E$185=TRUE, "College/university loans from institutional funds|", $E$185=FALSE, "")</f>
        <v/>
      </c>
    </row>
    <row r="186" spans="1:8" ht="17" customHeight="1" x14ac:dyDescent="0.25">
      <c r="A186" s="60"/>
      <c r="B186" s="569" t="s">
        <v>130</v>
      </c>
      <c r="C186" s="569"/>
      <c r="D186" s="569"/>
      <c r="E186" s="255" t="b">
        <v>0</v>
      </c>
      <c r="H186" s="1" t="str" cm="1">
        <f t="array" ref="H186">_xlfn.IFS($E$186=TRUE, "Other (specify): Click or tap here to enter text.|", $E$186=FALSE, "")</f>
        <v/>
      </c>
    </row>
    <row r="187" spans="1:8" ht="23" customHeight="1" x14ac:dyDescent="0.25">
      <c r="A187" s="3"/>
      <c r="B187" s="557"/>
      <c r="C187" s="557"/>
      <c r="D187" s="557"/>
    </row>
    <row r="188" spans="1:8" x14ac:dyDescent="0.25"/>
    <row r="189" spans="1:8" ht="13" x14ac:dyDescent="0.25">
      <c r="A189" s="3" t="s">
        <v>161</v>
      </c>
      <c r="B189" s="808" t="s">
        <v>162</v>
      </c>
      <c r="C189" s="808"/>
    </row>
    <row r="190" spans="1:8" ht="13" x14ac:dyDescent="0.25">
      <c r="A190" s="3"/>
      <c r="B190" s="703"/>
      <c r="C190" s="703"/>
    </row>
    <row r="191" spans="1:8" ht="17" customHeight="1" x14ac:dyDescent="0.25">
      <c r="A191" s="60"/>
      <c r="B191" s="782" t="s">
        <v>163</v>
      </c>
      <c r="C191" s="782"/>
      <c r="D191" s="782"/>
      <c r="E191" s="226" t="b">
        <v>1</v>
      </c>
      <c r="H191" s="1" t="str" cm="1">
        <f t="array" ref="H191">_xlfn.IFS($E$191=TRUE, "Federal Pell|", $E$191=FALSE, "")</f>
        <v>Federal Pell|</v>
      </c>
    </row>
    <row r="192" spans="1:8" ht="17" customHeight="1" x14ac:dyDescent="0.25">
      <c r="A192" s="60"/>
      <c r="B192" s="782" t="s">
        <v>164</v>
      </c>
      <c r="C192" s="782"/>
      <c r="D192" s="782"/>
      <c r="E192" s="226" t="b">
        <v>1</v>
      </c>
      <c r="H192" s="1" t="str" cm="1">
        <f t="array" ref="H192">_xlfn.IFS($E$192=TRUE, "SEOG|", $E$192=FALSE, "")</f>
        <v>SEOG|</v>
      </c>
    </row>
    <row r="193" spans="1:8 16383:16384" ht="17" customHeight="1" x14ac:dyDescent="0.25">
      <c r="A193" s="60"/>
      <c r="B193" s="782" t="s">
        <v>165</v>
      </c>
      <c r="C193" s="782"/>
      <c r="D193" s="782"/>
      <c r="E193" s="226" t="b">
        <v>1</v>
      </c>
      <c r="H193" s="1" t="str" cm="1">
        <f t="array" ref="H193">_xlfn.IFS($E$193=TRUE, "State scholarships/grants|", $E$193=FALSE, "")</f>
        <v>State scholarships/grants|</v>
      </c>
    </row>
    <row r="194" spans="1:8 16383:16384" ht="17" customHeight="1" x14ac:dyDescent="0.25">
      <c r="A194" s="60"/>
      <c r="B194" s="782" t="s">
        <v>166</v>
      </c>
      <c r="C194" s="782"/>
      <c r="D194" s="782"/>
      <c r="E194" s="226" t="b">
        <v>1</v>
      </c>
      <c r="H194" s="1" t="str" cm="1">
        <f t="array" ref="H194">_xlfn.IFS($E$194=TRUE, "Private Scholarships|", $E$194=FALSE, "")</f>
        <v>Private Scholarships|</v>
      </c>
    </row>
    <row r="195" spans="1:8 16383:16384" ht="17" customHeight="1" x14ac:dyDescent="0.25">
      <c r="A195" s="60"/>
      <c r="B195" s="782" t="s">
        <v>167</v>
      </c>
      <c r="C195" s="782"/>
      <c r="D195" s="782"/>
      <c r="E195" s="226" t="b">
        <v>1</v>
      </c>
      <c r="H195" s="1" t="str" cm="1">
        <f t="array" ref="H195">_xlfn.IFS($E$195=TRUE, "College/university scholarship or grant aid from institutional funds|", $E$195=FALSE, "")</f>
        <v>College/university scholarship or grant aid from institutional funds|</v>
      </c>
    </row>
    <row r="196" spans="1:8 16383:16384" ht="17" customHeight="1" x14ac:dyDescent="0.25">
      <c r="A196" s="60"/>
      <c r="B196" s="782" t="s">
        <v>168</v>
      </c>
      <c r="C196" s="782"/>
      <c r="D196" s="782"/>
      <c r="E196" s="226" t="b">
        <v>0</v>
      </c>
      <c r="H196" s="1" t="str" cm="1">
        <f t="array" ref="H196">_xlfn.IFS($E$196=TRUE, "United Negro College Fund|", $E$196=FALSE, "")</f>
        <v/>
      </c>
    </row>
    <row r="197" spans="1:8 16383:16384" ht="17" customHeight="1" x14ac:dyDescent="0.25">
      <c r="A197" s="60"/>
      <c r="B197" s="782" t="s">
        <v>169</v>
      </c>
      <c r="C197" s="782"/>
      <c r="D197" s="782"/>
      <c r="E197" s="226" t="b">
        <v>0</v>
      </c>
      <c r="H197" s="1" t="str" cm="1">
        <f t="array" ref="H197">_xlfn.IFS($E$197=TRUE, "Federal Nursing Scholarship|", $E$197=FALSE, "")</f>
        <v/>
      </c>
    </row>
    <row r="198" spans="1:8 16383:16384" ht="17" customHeight="1" x14ac:dyDescent="0.25">
      <c r="A198" s="60"/>
      <c r="B198" s="569" t="s">
        <v>130</v>
      </c>
      <c r="C198" s="569"/>
      <c r="D198" s="569"/>
      <c r="E198" s="252" t="b">
        <v>0</v>
      </c>
    </row>
    <row r="199" spans="1:8 16383:16384" ht="23" customHeight="1" x14ac:dyDescent="0.25">
      <c r="A199" s="3"/>
      <c r="B199" s="557"/>
      <c r="C199" s="557"/>
      <c r="D199" s="557"/>
    </row>
    <row r="200" spans="1:8 16383:16384" x14ac:dyDescent="0.25"/>
    <row r="201" spans="1:8 16383:16384" ht="17" customHeight="1" x14ac:dyDescent="0.25">
      <c r="A201" s="3" t="s">
        <v>170</v>
      </c>
      <c r="B201" s="703" t="s">
        <v>171</v>
      </c>
      <c r="C201" s="703"/>
      <c r="D201" s="703"/>
      <c r="E201" s="703"/>
      <c r="F201" s="703"/>
    </row>
    <row r="202" spans="1:8 16383:16384" ht="13" x14ac:dyDescent="0.25">
      <c r="A202" s="3"/>
      <c r="B202" s="749"/>
      <c r="C202" s="749"/>
      <c r="D202" s="62" t="s">
        <v>172</v>
      </c>
      <c r="E202" s="62" t="s">
        <v>1932</v>
      </c>
    </row>
    <row r="203" spans="1:8 16383:16384" ht="16" customHeight="1" x14ac:dyDescent="0.25">
      <c r="A203" s="3"/>
      <c r="B203" s="751" t="s">
        <v>173</v>
      </c>
      <c r="C203" s="751"/>
      <c r="D203" s="10"/>
      <c r="E203" s="10"/>
      <c r="F203" s="255" t="b">
        <v>1</v>
      </c>
      <c r="H203" s="1" t="str" cm="1">
        <f t="array" ref="H203">_xlfn.IFS($F$203=TRUE, "Academics|", $F$203=FALSE, "")</f>
        <v>Academics|</v>
      </c>
      <c r="XFC203" s="221" t="b">
        <v>1</v>
      </c>
      <c r="XFD203" s="1" t="str" cm="1">
        <f t="array" ref="XFD203">_xlfn.IFS($XFC$203=TRUE, "Academics|", $XFC$203=FALSE, "")</f>
        <v>Academics|</v>
      </c>
    </row>
    <row r="204" spans="1:8 16383:16384" ht="16" customHeight="1" x14ac:dyDescent="0.25">
      <c r="A204" s="3"/>
      <c r="B204" s="751" t="s">
        <v>174</v>
      </c>
      <c r="C204" s="751"/>
      <c r="D204" s="10"/>
      <c r="E204" s="10"/>
      <c r="F204" s="255" t="b">
        <v>0</v>
      </c>
      <c r="H204" s="1" t="str" cm="1">
        <f t="array" ref="H204">_xlfn.IFS($F$204=TRUE, "Alumni Affiliation|", $F$204=FALSE, "")</f>
        <v/>
      </c>
      <c r="XFC204" s="221" t="b">
        <v>0</v>
      </c>
      <c r="XFD204" s="1" t="str" cm="1">
        <f t="array" ref="XFD204">_xlfn.IFS($XFC$204=TRUE, "Alumni Affiliation|", $XFC$204=FALSE, "")</f>
        <v/>
      </c>
    </row>
    <row r="205" spans="1:8 16383:16384" ht="16" customHeight="1" x14ac:dyDescent="0.25">
      <c r="A205" s="3"/>
      <c r="B205" s="751" t="s">
        <v>175</v>
      </c>
      <c r="C205" s="751"/>
      <c r="D205" s="10"/>
      <c r="E205" s="10"/>
      <c r="F205" s="255" t="b">
        <v>1</v>
      </c>
      <c r="H205" s="1" t="str" cm="1">
        <f t="array" ref="H205">_xlfn.IFS($F$205=TRUE, "Art|", $F$205=FALSE, "")</f>
        <v>Art|</v>
      </c>
      <c r="XFC205" s="221" t="b">
        <v>0</v>
      </c>
      <c r="XFD205" s="1" t="str" cm="1">
        <f t="array" ref="XFD205">_xlfn.IFS($XFC$205=TRUE, "Art|", $XFC$205=FALSE, "")</f>
        <v/>
      </c>
    </row>
    <row r="206" spans="1:8 16383:16384" ht="16" customHeight="1" x14ac:dyDescent="0.25">
      <c r="A206" s="3"/>
      <c r="B206" s="751" t="s">
        <v>176</v>
      </c>
      <c r="C206" s="751"/>
      <c r="D206" s="10"/>
      <c r="E206" s="10"/>
      <c r="F206" s="255" t="b">
        <v>0</v>
      </c>
      <c r="H206" s="1" t="str" cm="1">
        <f t="array" ref="H206">_xlfn.IFS($F$206=TRUE, "Athletics|", $F$206=FALSE, "")</f>
        <v/>
      </c>
      <c r="XFC206" s="221" t="b">
        <v>0</v>
      </c>
      <c r="XFD206" s="1" t="str" cm="1">
        <f t="array" ref="XFD206">_xlfn.IFS($XFC$206=TRUE, "Athletics|", $XFC$206=FALSE, "")</f>
        <v/>
      </c>
    </row>
    <row r="207" spans="1:8 16383:16384" ht="16" customHeight="1" x14ac:dyDescent="0.25">
      <c r="A207" s="3"/>
      <c r="B207" s="751" t="s">
        <v>177</v>
      </c>
      <c r="C207" s="751"/>
      <c r="D207" s="10"/>
      <c r="E207" s="10"/>
      <c r="F207" s="255" t="b">
        <v>0</v>
      </c>
      <c r="H207" s="1" t="str" cm="1">
        <f t="array" ref="H207">_xlfn.IFS($F$207=TRUE, "Job Skills|", $F$207=FALSE, "")</f>
        <v/>
      </c>
      <c r="XFC207" s="221" t="b">
        <v>0</v>
      </c>
      <c r="XFD207" s="1" t="str" cm="1">
        <f t="array" ref="XFD207">_xlfn.IFS($XFC$207=TRUE, "Job Skills|", $XFC$207=FALSE, "")</f>
        <v/>
      </c>
    </row>
    <row r="208" spans="1:8 16383:16384" ht="16" customHeight="1" x14ac:dyDescent="0.25">
      <c r="A208" s="3"/>
      <c r="B208" s="751" t="s">
        <v>178</v>
      </c>
      <c r="C208" s="751"/>
      <c r="D208" s="10"/>
      <c r="E208" s="64"/>
      <c r="F208" s="255" t="b">
        <v>0</v>
      </c>
      <c r="H208" s="1" t="str" cm="1">
        <f t="array" ref="H208">_xlfn.IFS($F$208=TRUE, "ROTC|", $F$208=FALSE, "")</f>
        <v/>
      </c>
      <c r="XFC208" s="221"/>
    </row>
    <row r="209" spans="1:8 16383:16384" ht="16" customHeight="1" x14ac:dyDescent="0.25">
      <c r="A209" s="3"/>
      <c r="B209" s="751" t="s">
        <v>179</v>
      </c>
      <c r="C209" s="751"/>
      <c r="D209" s="10"/>
      <c r="E209" s="10"/>
      <c r="F209" s="255" t="b">
        <v>0</v>
      </c>
      <c r="H209" s="1" t="str" cm="1">
        <f t="array" ref="H209">_xlfn.IFS($F$209=TRUE, "Leadership|", $F$209=FALSE, "")</f>
        <v/>
      </c>
      <c r="XFC209" s="221" t="b">
        <v>0</v>
      </c>
      <c r="XFD209" s="1" t="str" cm="1">
        <f t="array" ref="XFD209">_xlfn.IFS($XFC$209=TRUE, "Leadership|", $XFC$209=FALSE, "")</f>
        <v/>
      </c>
    </row>
    <row r="210" spans="1:8 16383:16384" ht="16" customHeight="1" x14ac:dyDescent="0.25">
      <c r="A210" s="3"/>
      <c r="B210" s="751" t="s">
        <v>180</v>
      </c>
      <c r="C210" s="751"/>
      <c r="D210" s="10"/>
      <c r="E210" s="10"/>
      <c r="F210" s="255" t="b">
        <v>1</v>
      </c>
      <c r="H210" s="1" t="str" cm="1">
        <f t="array" ref="H210">_xlfn.IFS($F$210=TRUE, "Minority Status|", $F$210=FALSE, "")</f>
        <v>Minority Status|</v>
      </c>
      <c r="XFC210" s="221" t="b">
        <v>1</v>
      </c>
      <c r="XFD210" s="1" t="str" cm="1">
        <f t="array" ref="XFD210">_xlfn.IFS($XFC$210=TRUE, "Minority Status|", $XFC$210=FALSE, "")</f>
        <v>Minority Status|</v>
      </c>
    </row>
    <row r="211" spans="1:8 16383:16384" ht="16" customHeight="1" x14ac:dyDescent="0.25">
      <c r="A211" s="3"/>
      <c r="B211" s="751" t="s">
        <v>181</v>
      </c>
      <c r="C211" s="751"/>
      <c r="D211" s="10"/>
      <c r="E211" s="10"/>
      <c r="F211" s="255" t="b">
        <v>1</v>
      </c>
      <c r="H211" s="1" t="str" cm="1">
        <f t="array" ref="H211">_xlfn.IFS($F$211=TRUE, "Music/Drama|", $F$211=FALSE, "")</f>
        <v>Music/Drama|</v>
      </c>
      <c r="XFC211" s="221" t="b">
        <v>0</v>
      </c>
      <c r="XFD211" s="1" t="str" cm="1">
        <f t="array" ref="XFD211">_xlfn.IFS($XFC$211=TRUE, "Music/Drama|", $XFC$211=FALSE, "")</f>
        <v/>
      </c>
    </row>
    <row r="212" spans="1:8 16383:16384" ht="16" customHeight="1" x14ac:dyDescent="0.25">
      <c r="A212" s="3"/>
      <c r="B212" s="751" t="s">
        <v>182</v>
      </c>
      <c r="C212" s="751"/>
      <c r="D212" s="10"/>
      <c r="E212" s="10"/>
      <c r="F212" s="255" t="b">
        <v>1</v>
      </c>
      <c r="H212" s="1" t="str" cm="1">
        <f t="array" ref="H212">_xlfn.IFS($F$212=TRUE, "Religious Affiliation|", $F$212=FALSE, "")</f>
        <v>Religious Affiliation|</v>
      </c>
      <c r="XFC212" s="221" t="b">
        <v>0</v>
      </c>
      <c r="XFD212" s="1" t="str" cm="1">
        <f t="array" ref="XFD212">_xlfn.IFS($XFC$212=TRUE, "Religious Affiliation|", $XFC$212=FALSE, "")</f>
        <v/>
      </c>
    </row>
    <row r="213" spans="1:8 16383:16384" ht="16" customHeight="1" x14ac:dyDescent="0.25">
      <c r="A213" s="3"/>
      <c r="B213" s="751" t="s">
        <v>183</v>
      </c>
      <c r="C213" s="751"/>
      <c r="D213" s="10"/>
      <c r="E213" s="10"/>
      <c r="F213" s="255" t="b">
        <v>1</v>
      </c>
      <c r="H213" s="1" t="str" cm="1">
        <f t="array" ref="H213">_xlfn.IFS($F$213=TRUE, "State/District Residency|", $F$213=FALSE, "")</f>
        <v>State/District Residency|</v>
      </c>
      <c r="XFC213" s="221" t="b">
        <v>1</v>
      </c>
      <c r="XFD213" s="1" t="str" cm="1">
        <f t="array" ref="XFD213">_xlfn.IFS($XFC$213=TRUE, "State/District Residency|", $XFC$213=FALSE, "")</f>
        <v>State/District Residency|</v>
      </c>
    </row>
    <row r="214" spans="1:8 16383:16384" x14ac:dyDescent="0.25"/>
    <row r="215" spans="1:8 16383:16384" ht="50.25" customHeight="1" x14ac:dyDescent="0.25">
      <c r="A215" s="3" t="s">
        <v>184</v>
      </c>
      <c r="B215" s="544" t="s">
        <v>185</v>
      </c>
      <c r="C215" s="544"/>
      <c r="D215" s="544"/>
      <c r="E215" s="544"/>
    </row>
    <row r="216" spans="1:8 16383:16384" x14ac:dyDescent="0.25">
      <c r="B216" s="809" t="s">
        <v>1995</v>
      </c>
      <c r="C216" s="809"/>
      <c r="D216" s="809"/>
      <c r="E216" s="809"/>
    </row>
    <row r="217" spans="1:8 16383:16384" x14ac:dyDescent="0.25">
      <c r="B217" s="809"/>
      <c r="C217" s="809"/>
      <c r="D217" s="809"/>
      <c r="E217" s="809"/>
    </row>
    <row r="218" spans="1:8 16383:16384" x14ac:dyDescent="0.25">
      <c r="B218" s="809"/>
      <c r="C218" s="809"/>
      <c r="D218" s="809"/>
      <c r="E218" s="809"/>
    </row>
    <row r="219" spans="1:8 16383:16384" x14ac:dyDescent="0.25">
      <c r="B219" s="809"/>
      <c r="C219" s="809"/>
      <c r="D219" s="809"/>
      <c r="E219" s="809"/>
    </row>
    <row r="220" spans="1:8 16383:16384" x14ac:dyDescent="0.25"/>
    <row r="221" spans="1:8 16383:16384" x14ac:dyDescent="0.25">
      <c r="B221" s="759" t="s">
        <v>186</v>
      </c>
      <c r="C221" s="759"/>
      <c r="D221" s="759"/>
      <c r="E221" s="759"/>
    </row>
    <row r="222" spans="1:8 16383:16384" ht="24" customHeight="1" x14ac:dyDescent="0.25">
      <c r="B222" s="65"/>
      <c r="C222" s="38" t="s">
        <v>1108</v>
      </c>
      <c r="D222" s="256" t="s">
        <v>144</v>
      </c>
      <c r="E222" s="65"/>
      <c r="H222" s="1" t="str" cm="1">
        <f t="array" ref="H222">_xlfn.IFS($D$222="YES", "Yes", $D$222="yes", "Yes", $D$222="Yes", "Yes", $D$222="NO", "No", $D$222="no", "No", $D$222="No", "No")</f>
        <v>No</v>
      </c>
    </row>
    <row r="223" spans="1:8 16383:16384" x14ac:dyDescent="0.25">
      <c r="B223" s="60"/>
      <c r="C223" s="51"/>
    </row>
    <row r="224" spans="1:8 16383:16384" x14ac:dyDescent="0.25">
      <c r="B224" s="60"/>
      <c r="C224" s="51"/>
    </row>
    <row r="225" spans="2:6" x14ac:dyDescent="0.25">
      <c r="B225" s="221"/>
      <c r="C225" s="221"/>
      <c r="D225" s="221"/>
      <c r="E225" s="221"/>
      <c r="F225" s="221"/>
    </row>
    <row r="226" spans="2:6" x14ac:dyDescent="0.25">
      <c r="B226" s="221"/>
      <c r="C226" s="221"/>
      <c r="D226" s="221"/>
      <c r="E226" s="221"/>
      <c r="F226" s="221"/>
    </row>
    <row r="227" spans="2:6" x14ac:dyDescent="0.25">
      <c r="B227" s="221"/>
      <c r="C227" s="221"/>
      <c r="D227" s="221"/>
      <c r="E227" s="221"/>
      <c r="F227" s="221"/>
    </row>
    <row r="228" spans="2:6" x14ac:dyDescent="0.25">
      <c r="B228" s="221"/>
      <c r="C228" s="221"/>
      <c r="D228" s="221"/>
      <c r="E228" s="221"/>
      <c r="F228" s="221"/>
    </row>
    <row r="229" spans="2:6" x14ac:dyDescent="0.25">
      <c r="B229" s="221"/>
      <c r="C229" s="221"/>
      <c r="D229" s="221"/>
      <c r="E229" s="221"/>
      <c r="F229" s="221"/>
    </row>
    <row r="230" spans="2:6" x14ac:dyDescent="0.25">
      <c r="B230" s="221"/>
      <c r="C230" s="221"/>
      <c r="D230" s="221"/>
      <c r="E230" s="221"/>
      <c r="F230" s="221"/>
    </row>
    <row r="231" spans="2:6" x14ac:dyDescent="0.25">
      <c r="B231" s="221"/>
      <c r="C231" s="221"/>
      <c r="D231" s="221"/>
      <c r="E231" s="221"/>
      <c r="F231" s="221"/>
    </row>
    <row r="232" spans="2:6" x14ac:dyDescent="0.25">
      <c r="B232" s="221"/>
      <c r="C232" s="221"/>
      <c r="D232" s="221"/>
      <c r="E232" s="221"/>
      <c r="F232" s="221"/>
    </row>
    <row r="233" spans="2:6" x14ac:dyDescent="0.25">
      <c r="B233" s="221"/>
      <c r="C233" s="221"/>
      <c r="D233" s="221"/>
      <c r="E233" s="221"/>
      <c r="F233" s="221"/>
    </row>
    <row r="234" spans="2:6" x14ac:dyDescent="0.25">
      <c r="B234" s="221"/>
      <c r="C234" s="221"/>
      <c r="D234" s="221"/>
      <c r="E234" s="221"/>
      <c r="F234" s="221"/>
    </row>
    <row r="235" spans="2:6" x14ac:dyDescent="0.25"/>
    <row r="236" spans="2:6" x14ac:dyDescent="0.25"/>
  </sheetData>
  <sheetProtection algorithmName="SHA-512" hashValue="bXSu1Q9qweCW21ls8lLiZFEnfsDhdAd22z3oif8LGhZ8+cmsRlORQNyQS/OLTjbIMivHHI7qlEHiAvVq8wjjwQ==" saltValue="qtpAMMbhccZrwNLM4ZTuKQ==" spinCount="100000" sheet="1" objects="1" scenarios="1"/>
  <mergeCells count="148">
    <mergeCell ref="B213:C213"/>
    <mergeCell ref="B215:E215"/>
    <mergeCell ref="B216:E219"/>
    <mergeCell ref="B221:E221"/>
    <mergeCell ref="B207:C207"/>
    <mergeCell ref="B208:C208"/>
    <mergeCell ref="B209:C209"/>
    <mergeCell ref="B210:C210"/>
    <mergeCell ref="B211:C211"/>
    <mergeCell ref="B212:C212"/>
    <mergeCell ref="B201:F201"/>
    <mergeCell ref="B202:C202"/>
    <mergeCell ref="B203:C203"/>
    <mergeCell ref="B204:C204"/>
    <mergeCell ref="B205:C205"/>
    <mergeCell ref="B206:C206"/>
    <mergeCell ref="B194:D194"/>
    <mergeCell ref="B195:D195"/>
    <mergeCell ref="B196:D196"/>
    <mergeCell ref="B197:D197"/>
    <mergeCell ref="B198:D198"/>
    <mergeCell ref="B199:D199"/>
    <mergeCell ref="B187:D187"/>
    <mergeCell ref="B189:C189"/>
    <mergeCell ref="B190:C190"/>
    <mergeCell ref="B191:D191"/>
    <mergeCell ref="B192:D192"/>
    <mergeCell ref="B193:D193"/>
    <mergeCell ref="B181:D181"/>
    <mergeCell ref="B182:D182"/>
    <mergeCell ref="B183:D183"/>
    <mergeCell ref="B184:D184"/>
    <mergeCell ref="B185:D185"/>
    <mergeCell ref="B186:D186"/>
    <mergeCell ref="B172:C172"/>
    <mergeCell ref="B173:C173"/>
    <mergeCell ref="B177:C177"/>
    <mergeCell ref="B178:D178"/>
    <mergeCell ref="B179:D179"/>
    <mergeCell ref="B180:D180"/>
    <mergeCell ref="B151:D151"/>
    <mergeCell ref="B153:F153"/>
    <mergeCell ref="C157:C158"/>
    <mergeCell ref="B160:F160"/>
    <mergeCell ref="B164:C164"/>
    <mergeCell ref="B171:C171"/>
    <mergeCell ref="B145:D145"/>
    <mergeCell ref="B146:D146"/>
    <mergeCell ref="B147:D147"/>
    <mergeCell ref="B148:D148"/>
    <mergeCell ref="B149:D149"/>
    <mergeCell ref="B150:D150"/>
    <mergeCell ref="B135:D135"/>
    <mergeCell ref="B136:D136"/>
    <mergeCell ref="B137:D137"/>
    <mergeCell ref="B138:D138"/>
    <mergeCell ref="B142:F142"/>
    <mergeCell ref="B144:D144"/>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 ref="B14:F14"/>
    <mergeCell ref="D15:E15"/>
    <mergeCell ref="D16:E16"/>
  </mergeCells>
  <dataValidations count="1">
    <dataValidation type="textLength" operator="lessThanOrEqual" allowBlank="1" showInputMessage="1" showErrorMessage="1" sqref="D166 D222" xr:uid="{3B81AFAC-71F0-BC4D-AB21-114DB4070AEE}">
      <formula1>3</formula1>
    </dataValidation>
  </dataValidations>
  <pageMargins left="0.75" right="0.75" top="1" bottom="1" header="0.5" footer="0.5"/>
  <pageSetup scale="75" orientation="portrait" r:id="rId1"/>
  <headerFooter alignWithMargins="0">
    <oddHeader>&amp;LCommon Data Set 2021-2022</oddHeader>
    <oddFooter>&amp;LCDS-H&amp;C
&amp;RPage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76200</xdr:colOff>
                    <xdr:row>38</xdr:row>
                    <xdr:rowOff>165100</xdr:rowOff>
                  </from>
                  <to>
                    <xdr:col>0</xdr:col>
                    <xdr:colOff>342900</xdr:colOff>
                    <xdr:row>39</xdr:row>
                    <xdr:rowOff>215900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76200</xdr:colOff>
                    <xdr:row>39</xdr:row>
                    <xdr:rowOff>215900</xdr:rowOff>
                  </from>
                  <to>
                    <xdr:col>1</xdr:col>
                    <xdr:colOff>0</xdr:colOff>
                    <xdr:row>41</xdr:row>
                    <xdr:rowOff>12700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76200</xdr:colOff>
                    <xdr:row>41</xdr:row>
                    <xdr:rowOff>0</xdr:rowOff>
                  </from>
                  <to>
                    <xdr:col>1</xdr:col>
                    <xdr:colOff>0</xdr:colOff>
                    <xdr:row>42</xdr:row>
                    <xdr:rowOff>12700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0</xdr:col>
                    <xdr:colOff>88900</xdr:colOff>
                    <xdr:row>131</xdr:row>
                    <xdr:rowOff>152400</xdr:rowOff>
                  </from>
                  <to>
                    <xdr:col>1</xdr:col>
                    <xdr:colOff>0</xdr:colOff>
                    <xdr:row>132</xdr:row>
                    <xdr:rowOff>190500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0</xdr:col>
                    <xdr:colOff>88900</xdr:colOff>
                    <xdr:row>134</xdr:row>
                    <xdr:rowOff>0</xdr:rowOff>
                  </from>
                  <to>
                    <xdr:col>0</xdr:col>
                    <xdr:colOff>342900</xdr:colOff>
                    <xdr:row>134</xdr:row>
                    <xdr:rowOff>203200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0</xdr:col>
                    <xdr:colOff>88900</xdr:colOff>
                    <xdr:row>133</xdr:row>
                    <xdr:rowOff>12700</xdr:rowOff>
                  </from>
                  <to>
                    <xdr:col>1</xdr:col>
                    <xdr:colOff>0</xdr:colOff>
                    <xdr:row>134</xdr:row>
                    <xdr:rowOff>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0</xdr:col>
                    <xdr:colOff>88900</xdr:colOff>
                    <xdr:row>135</xdr:row>
                    <xdr:rowOff>12700</xdr:rowOff>
                  </from>
                  <to>
                    <xdr:col>1</xdr:col>
                    <xdr:colOff>12700</xdr:colOff>
                    <xdr:row>136</xdr:row>
                    <xdr:rowOff>12700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0</xdr:col>
                    <xdr:colOff>88900</xdr:colOff>
                    <xdr:row>136</xdr:row>
                    <xdr:rowOff>12700</xdr:rowOff>
                  </from>
                  <to>
                    <xdr:col>1</xdr:col>
                    <xdr:colOff>0</xdr:colOff>
                    <xdr:row>137</xdr:row>
                    <xdr:rowOff>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0</xdr:col>
                    <xdr:colOff>76200</xdr:colOff>
                    <xdr:row>143</xdr:row>
                    <xdr:rowOff>12700</xdr:rowOff>
                  </from>
                  <to>
                    <xdr:col>0</xdr:col>
                    <xdr:colOff>330200</xdr:colOff>
                    <xdr:row>144</xdr:row>
                    <xdr:rowOff>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0</xdr:col>
                    <xdr:colOff>76200</xdr:colOff>
                    <xdr:row>144</xdr:row>
                    <xdr:rowOff>12700</xdr:rowOff>
                  </from>
                  <to>
                    <xdr:col>0</xdr:col>
                    <xdr:colOff>330200</xdr:colOff>
                    <xdr:row>145</xdr:row>
                    <xdr:rowOff>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0</xdr:col>
                    <xdr:colOff>76200</xdr:colOff>
                    <xdr:row>145</xdr:row>
                    <xdr:rowOff>12700</xdr:rowOff>
                  </from>
                  <to>
                    <xdr:col>0</xdr:col>
                    <xdr:colOff>330200</xdr:colOff>
                    <xdr:row>146</xdr:row>
                    <xdr:rowOff>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0</xdr:col>
                    <xdr:colOff>76200</xdr:colOff>
                    <xdr:row>146</xdr:row>
                    <xdr:rowOff>12700</xdr:rowOff>
                  </from>
                  <to>
                    <xdr:col>0</xdr:col>
                    <xdr:colOff>330200</xdr:colOff>
                    <xdr:row>147</xdr:row>
                    <xdr:rowOff>12700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0</xdr:col>
                    <xdr:colOff>76200</xdr:colOff>
                    <xdr:row>147</xdr:row>
                    <xdr:rowOff>12700</xdr:rowOff>
                  </from>
                  <to>
                    <xdr:col>0</xdr:col>
                    <xdr:colOff>330200</xdr:colOff>
                    <xdr:row>148</xdr:row>
                    <xdr:rowOff>0</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0</xdr:col>
                    <xdr:colOff>76200</xdr:colOff>
                    <xdr:row>148</xdr:row>
                    <xdr:rowOff>0</xdr:rowOff>
                  </from>
                  <to>
                    <xdr:col>0</xdr:col>
                    <xdr:colOff>330200</xdr:colOff>
                    <xdr:row>149</xdr:row>
                    <xdr:rowOff>0</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0</xdr:col>
                    <xdr:colOff>76200</xdr:colOff>
                    <xdr:row>149</xdr:row>
                    <xdr:rowOff>12700</xdr:rowOff>
                  </from>
                  <to>
                    <xdr:col>0</xdr:col>
                    <xdr:colOff>330200</xdr:colOff>
                    <xdr:row>150</xdr:row>
                    <xdr:rowOff>12700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1</xdr:col>
                    <xdr:colOff>342900</xdr:colOff>
                    <xdr:row>156</xdr:row>
                    <xdr:rowOff>0</xdr:rowOff>
                  </from>
                  <to>
                    <xdr:col>1</xdr:col>
                    <xdr:colOff>584200</xdr:colOff>
                    <xdr:row>157</xdr:row>
                    <xdr:rowOff>0</xdr:rowOff>
                  </to>
                </anchor>
              </controlPr>
            </control>
          </mc:Choice>
        </mc:AlternateContent>
        <mc:AlternateContent xmlns:mc="http://schemas.openxmlformats.org/markup-compatibility/2006">
          <mc:Choice Requires="x14">
            <control shapeId="1047" r:id="rId20" name="Check Box 23">
              <controlPr defaultSize="0" autoFill="0" autoLine="0" autoPict="0">
                <anchor moveWithCells="1">
                  <from>
                    <xdr:col>0</xdr:col>
                    <xdr:colOff>25400</xdr:colOff>
                    <xdr:row>177</xdr:row>
                    <xdr:rowOff>139700</xdr:rowOff>
                  </from>
                  <to>
                    <xdr:col>1</xdr:col>
                    <xdr:colOff>0</xdr:colOff>
                    <xdr:row>179</xdr:row>
                    <xdr:rowOff>0</xdr:rowOff>
                  </to>
                </anchor>
              </controlPr>
            </control>
          </mc:Choice>
        </mc:AlternateContent>
        <mc:AlternateContent xmlns:mc="http://schemas.openxmlformats.org/markup-compatibility/2006">
          <mc:Choice Requires="x14">
            <control shapeId="1048" r:id="rId21" name="Check Box 24">
              <controlPr defaultSize="0" autoFill="0" autoLine="0" autoPict="0">
                <anchor moveWithCells="1">
                  <from>
                    <xdr:col>0</xdr:col>
                    <xdr:colOff>25400</xdr:colOff>
                    <xdr:row>179</xdr:row>
                    <xdr:rowOff>0</xdr:rowOff>
                  </from>
                  <to>
                    <xdr:col>1</xdr:col>
                    <xdr:colOff>0</xdr:colOff>
                    <xdr:row>180</xdr:row>
                    <xdr:rowOff>12700</xdr:rowOff>
                  </to>
                </anchor>
              </controlPr>
            </control>
          </mc:Choice>
        </mc:AlternateContent>
        <mc:AlternateContent xmlns:mc="http://schemas.openxmlformats.org/markup-compatibility/2006">
          <mc:Choice Requires="x14">
            <control shapeId="1050" r:id="rId22" name="Check Box 26">
              <controlPr defaultSize="0" autoFill="0" autoLine="0" autoPict="0">
                <anchor moveWithCells="1">
                  <from>
                    <xdr:col>0</xdr:col>
                    <xdr:colOff>25400</xdr:colOff>
                    <xdr:row>180</xdr:row>
                    <xdr:rowOff>12700</xdr:rowOff>
                  </from>
                  <to>
                    <xdr:col>1</xdr:col>
                    <xdr:colOff>0</xdr:colOff>
                    <xdr:row>181</xdr:row>
                    <xdr:rowOff>0</xdr:rowOff>
                  </to>
                </anchor>
              </controlPr>
            </control>
          </mc:Choice>
        </mc:AlternateContent>
        <mc:AlternateContent xmlns:mc="http://schemas.openxmlformats.org/markup-compatibility/2006">
          <mc:Choice Requires="x14">
            <control shapeId="1051" r:id="rId23" name="Check Box 27">
              <controlPr defaultSize="0" autoFill="0" autoLine="0" autoPict="0">
                <anchor moveWithCells="1">
                  <from>
                    <xdr:col>0</xdr:col>
                    <xdr:colOff>25400</xdr:colOff>
                    <xdr:row>180</xdr:row>
                    <xdr:rowOff>215900</xdr:rowOff>
                  </from>
                  <to>
                    <xdr:col>0</xdr:col>
                    <xdr:colOff>342900</xdr:colOff>
                    <xdr:row>182</xdr:row>
                    <xdr:rowOff>0</xdr:rowOff>
                  </to>
                </anchor>
              </controlPr>
            </control>
          </mc:Choice>
        </mc:AlternateContent>
        <mc:AlternateContent xmlns:mc="http://schemas.openxmlformats.org/markup-compatibility/2006">
          <mc:Choice Requires="x14">
            <control shapeId="1052" r:id="rId24" name="Check Box 28">
              <controlPr defaultSize="0" autoFill="0" autoLine="0" autoPict="0">
                <anchor moveWithCells="1">
                  <from>
                    <xdr:col>0</xdr:col>
                    <xdr:colOff>38100</xdr:colOff>
                    <xdr:row>182</xdr:row>
                    <xdr:rowOff>0</xdr:rowOff>
                  </from>
                  <to>
                    <xdr:col>1</xdr:col>
                    <xdr:colOff>12700</xdr:colOff>
                    <xdr:row>183</xdr:row>
                    <xdr:rowOff>0</xdr:rowOff>
                  </to>
                </anchor>
              </controlPr>
            </control>
          </mc:Choice>
        </mc:AlternateContent>
        <mc:AlternateContent xmlns:mc="http://schemas.openxmlformats.org/markup-compatibility/2006">
          <mc:Choice Requires="x14">
            <control shapeId="1053" r:id="rId25" name="Check Box 29">
              <controlPr defaultSize="0" autoFill="0" autoLine="0" autoPict="0">
                <anchor moveWithCells="1">
                  <from>
                    <xdr:col>0</xdr:col>
                    <xdr:colOff>38100</xdr:colOff>
                    <xdr:row>183</xdr:row>
                    <xdr:rowOff>12700</xdr:rowOff>
                  </from>
                  <to>
                    <xdr:col>0</xdr:col>
                    <xdr:colOff>342900</xdr:colOff>
                    <xdr:row>184</xdr:row>
                    <xdr:rowOff>0</xdr:rowOff>
                  </to>
                </anchor>
              </controlPr>
            </control>
          </mc:Choice>
        </mc:AlternateContent>
        <mc:AlternateContent xmlns:mc="http://schemas.openxmlformats.org/markup-compatibility/2006">
          <mc:Choice Requires="x14">
            <control shapeId="1054" r:id="rId26" name="Check Box 30">
              <controlPr defaultSize="0" autoFill="0" autoLine="0" autoPict="0">
                <anchor moveWithCells="1">
                  <from>
                    <xdr:col>0</xdr:col>
                    <xdr:colOff>38100</xdr:colOff>
                    <xdr:row>184</xdr:row>
                    <xdr:rowOff>12700</xdr:rowOff>
                  </from>
                  <to>
                    <xdr:col>1</xdr:col>
                    <xdr:colOff>0</xdr:colOff>
                    <xdr:row>185</xdr:row>
                    <xdr:rowOff>0</xdr:rowOff>
                  </to>
                </anchor>
              </controlPr>
            </control>
          </mc:Choice>
        </mc:AlternateContent>
        <mc:AlternateContent xmlns:mc="http://schemas.openxmlformats.org/markup-compatibility/2006">
          <mc:Choice Requires="x14">
            <control shapeId="1055" r:id="rId27" name="Check Box 31">
              <controlPr defaultSize="0" autoFill="0" autoLine="0" autoPict="0">
                <anchor moveWithCells="1">
                  <from>
                    <xdr:col>0</xdr:col>
                    <xdr:colOff>38100</xdr:colOff>
                    <xdr:row>185</xdr:row>
                    <xdr:rowOff>12700</xdr:rowOff>
                  </from>
                  <to>
                    <xdr:col>1</xdr:col>
                    <xdr:colOff>0</xdr:colOff>
                    <xdr:row>186</xdr:row>
                    <xdr:rowOff>0</xdr:rowOff>
                  </to>
                </anchor>
              </controlPr>
            </control>
          </mc:Choice>
        </mc:AlternateContent>
        <mc:AlternateContent xmlns:mc="http://schemas.openxmlformats.org/markup-compatibility/2006">
          <mc:Choice Requires="x14">
            <control shapeId="1057" r:id="rId28" name="Check Box 33">
              <controlPr defaultSize="0" autoFill="0" autoLine="0" autoPict="0">
                <anchor moveWithCells="1">
                  <from>
                    <xdr:col>0</xdr:col>
                    <xdr:colOff>12700</xdr:colOff>
                    <xdr:row>189</xdr:row>
                    <xdr:rowOff>139700</xdr:rowOff>
                  </from>
                  <to>
                    <xdr:col>1</xdr:col>
                    <xdr:colOff>0</xdr:colOff>
                    <xdr:row>191</xdr:row>
                    <xdr:rowOff>12700</xdr:rowOff>
                  </to>
                </anchor>
              </controlPr>
            </control>
          </mc:Choice>
        </mc:AlternateContent>
        <mc:AlternateContent xmlns:mc="http://schemas.openxmlformats.org/markup-compatibility/2006">
          <mc:Choice Requires="x14">
            <control shapeId="1058" r:id="rId29" name="Check Box 34">
              <controlPr defaultSize="0" autoFill="0" autoLine="0" autoPict="0">
                <anchor moveWithCells="1">
                  <from>
                    <xdr:col>0</xdr:col>
                    <xdr:colOff>12700</xdr:colOff>
                    <xdr:row>190</xdr:row>
                    <xdr:rowOff>203200</xdr:rowOff>
                  </from>
                  <to>
                    <xdr:col>1</xdr:col>
                    <xdr:colOff>0</xdr:colOff>
                    <xdr:row>192</xdr:row>
                    <xdr:rowOff>0</xdr:rowOff>
                  </to>
                </anchor>
              </controlPr>
            </control>
          </mc:Choice>
        </mc:AlternateContent>
        <mc:AlternateContent xmlns:mc="http://schemas.openxmlformats.org/markup-compatibility/2006">
          <mc:Choice Requires="x14">
            <control shapeId="1059" r:id="rId30" name="Check Box 35">
              <controlPr defaultSize="0" autoFill="0" autoLine="0" autoPict="0">
                <anchor moveWithCells="1">
                  <from>
                    <xdr:col>0</xdr:col>
                    <xdr:colOff>12700</xdr:colOff>
                    <xdr:row>192</xdr:row>
                    <xdr:rowOff>12700</xdr:rowOff>
                  </from>
                  <to>
                    <xdr:col>1</xdr:col>
                    <xdr:colOff>12700</xdr:colOff>
                    <xdr:row>193</xdr:row>
                    <xdr:rowOff>12700</xdr:rowOff>
                  </to>
                </anchor>
              </controlPr>
            </control>
          </mc:Choice>
        </mc:AlternateContent>
        <mc:AlternateContent xmlns:mc="http://schemas.openxmlformats.org/markup-compatibility/2006">
          <mc:Choice Requires="x14">
            <control shapeId="1060" r:id="rId31" name="Check Box 36">
              <controlPr defaultSize="0" autoFill="0" autoLine="0" autoPict="0">
                <anchor moveWithCells="1">
                  <from>
                    <xdr:col>0</xdr:col>
                    <xdr:colOff>12700</xdr:colOff>
                    <xdr:row>193</xdr:row>
                    <xdr:rowOff>0</xdr:rowOff>
                  </from>
                  <to>
                    <xdr:col>1</xdr:col>
                    <xdr:colOff>12700</xdr:colOff>
                    <xdr:row>194</xdr:row>
                    <xdr:rowOff>0</xdr:rowOff>
                  </to>
                </anchor>
              </controlPr>
            </control>
          </mc:Choice>
        </mc:AlternateContent>
        <mc:AlternateContent xmlns:mc="http://schemas.openxmlformats.org/markup-compatibility/2006">
          <mc:Choice Requires="x14">
            <control shapeId="1061" r:id="rId32" name="Check Box 37">
              <controlPr defaultSize="0" autoFill="0" autoLine="0" autoPict="0">
                <anchor moveWithCells="1">
                  <from>
                    <xdr:col>0</xdr:col>
                    <xdr:colOff>12700</xdr:colOff>
                    <xdr:row>194</xdr:row>
                    <xdr:rowOff>0</xdr:rowOff>
                  </from>
                  <to>
                    <xdr:col>1</xdr:col>
                    <xdr:colOff>0</xdr:colOff>
                    <xdr:row>195</xdr:row>
                    <xdr:rowOff>0</xdr:rowOff>
                  </to>
                </anchor>
              </controlPr>
            </control>
          </mc:Choice>
        </mc:AlternateContent>
        <mc:AlternateContent xmlns:mc="http://schemas.openxmlformats.org/markup-compatibility/2006">
          <mc:Choice Requires="x14">
            <control shapeId="1062" r:id="rId33" name="Check Box 38">
              <controlPr defaultSize="0" autoFill="0" autoLine="0" autoPict="0">
                <anchor moveWithCells="1">
                  <from>
                    <xdr:col>0</xdr:col>
                    <xdr:colOff>12700</xdr:colOff>
                    <xdr:row>194</xdr:row>
                    <xdr:rowOff>215900</xdr:rowOff>
                  </from>
                  <to>
                    <xdr:col>0</xdr:col>
                    <xdr:colOff>342900</xdr:colOff>
                    <xdr:row>196</xdr:row>
                    <xdr:rowOff>12700</xdr:rowOff>
                  </to>
                </anchor>
              </controlPr>
            </control>
          </mc:Choice>
        </mc:AlternateContent>
        <mc:AlternateContent xmlns:mc="http://schemas.openxmlformats.org/markup-compatibility/2006">
          <mc:Choice Requires="x14">
            <control shapeId="1063" r:id="rId34" name="Check Box 39">
              <controlPr defaultSize="0" autoFill="0" autoLine="0" autoPict="0">
                <anchor moveWithCells="1">
                  <from>
                    <xdr:col>0</xdr:col>
                    <xdr:colOff>12700</xdr:colOff>
                    <xdr:row>195</xdr:row>
                    <xdr:rowOff>215900</xdr:rowOff>
                  </from>
                  <to>
                    <xdr:col>1</xdr:col>
                    <xdr:colOff>0</xdr:colOff>
                    <xdr:row>197</xdr:row>
                    <xdr:rowOff>12700</xdr:rowOff>
                  </to>
                </anchor>
              </controlPr>
            </control>
          </mc:Choice>
        </mc:AlternateContent>
        <mc:AlternateContent xmlns:mc="http://schemas.openxmlformats.org/markup-compatibility/2006">
          <mc:Choice Requires="x14">
            <control shapeId="1064" r:id="rId35" name="Check Box 40">
              <controlPr defaultSize="0" autoFill="0" autoLine="0" autoPict="0">
                <anchor moveWithCells="1">
                  <from>
                    <xdr:col>0</xdr:col>
                    <xdr:colOff>12700</xdr:colOff>
                    <xdr:row>196</xdr:row>
                    <xdr:rowOff>215900</xdr:rowOff>
                  </from>
                  <to>
                    <xdr:col>1</xdr:col>
                    <xdr:colOff>0</xdr:colOff>
                    <xdr:row>198</xdr:row>
                    <xdr:rowOff>0</xdr:rowOff>
                  </to>
                </anchor>
              </controlPr>
            </control>
          </mc:Choice>
        </mc:AlternateContent>
        <mc:AlternateContent xmlns:mc="http://schemas.openxmlformats.org/markup-compatibility/2006">
          <mc:Choice Requires="x14">
            <control shapeId="1066" r:id="rId36" name="Check Box 42">
              <controlPr defaultSize="0" autoFill="0" autoLine="0" autoPict="0">
                <anchor moveWithCells="1">
                  <from>
                    <xdr:col>3</xdr:col>
                    <xdr:colOff>469900</xdr:colOff>
                    <xdr:row>202</xdr:row>
                    <xdr:rowOff>12700</xdr:rowOff>
                  </from>
                  <to>
                    <xdr:col>3</xdr:col>
                    <xdr:colOff>1028700</xdr:colOff>
                    <xdr:row>202</xdr:row>
                    <xdr:rowOff>190500</xdr:rowOff>
                  </to>
                </anchor>
              </controlPr>
            </control>
          </mc:Choice>
        </mc:AlternateContent>
        <mc:AlternateContent xmlns:mc="http://schemas.openxmlformats.org/markup-compatibility/2006">
          <mc:Choice Requires="x14">
            <control shapeId="1067" r:id="rId37" name="Check Box 43">
              <controlPr defaultSize="0" autoFill="0" autoLine="0" autoPict="0">
                <anchor moveWithCells="1">
                  <from>
                    <xdr:col>3</xdr:col>
                    <xdr:colOff>469900</xdr:colOff>
                    <xdr:row>203</xdr:row>
                    <xdr:rowOff>12700</xdr:rowOff>
                  </from>
                  <to>
                    <xdr:col>3</xdr:col>
                    <xdr:colOff>1079500</xdr:colOff>
                    <xdr:row>204</xdr:row>
                    <xdr:rowOff>0</xdr:rowOff>
                  </to>
                </anchor>
              </controlPr>
            </control>
          </mc:Choice>
        </mc:AlternateContent>
        <mc:AlternateContent xmlns:mc="http://schemas.openxmlformats.org/markup-compatibility/2006">
          <mc:Choice Requires="x14">
            <control shapeId="1068" r:id="rId38" name="Check Box 44">
              <controlPr defaultSize="0" autoFill="0" autoLine="0" autoPict="0">
                <anchor moveWithCells="1">
                  <from>
                    <xdr:col>3</xdr:col>
                    <xdr:colOff>469900</xdr:colOff>
                    <xdr:row>204</xdr:row>
                    <xdr:rowOff>12700</xdr:rowOff>
                  </from>
                  <to>
                    <xdr:col>3</xdr:col>
                    <xdr:colOff>1117600</xdr:colOff>
                    <xdr:row>204</xdr:row>
                    <xdr:rowOff>190500</xdr:rowOff>
                  </to>
                </anchor>
              </controlPr>
            </control>
          </mc:Choice>
        </mc:AlternateContent>
        <mc:AlternateContent xmlns:mc="http://schemas.openxmlformats.org/markup-compatibility/2006">
          <mc:Choice Requires="x14">
            <control shapeId="1069" r:id="rId39" name="Check Box 45">
              <controlPr defaultSize="0" autoFill="0" autoLine="0" autoPict="0">
                <anchor moveWithCells="1">
                  <from>
                    <xdr:col>3</xdr:col>
                    <xdr:colOff>469900</xdr:colOff>
                    <xdr:row>205</xdr:row>
                    <xdr:rowOff>12700</xdr:rowOff>
                  </from>
                  <to>
                    <xdr:col>3</xdr:col>
                    <xdr:colOff>1092200</xdr:colOff>
                    <xdr:row>205</xdr:row>
                    <xdr:rowOff>177800</xdr:rowOff>
                  </to>
                </anchor>
              </controlPr>
            </control>
          </mc:Choice>
        </mc:AlternateContent>
        <mc:AlternateContent xmlns:mc="http://schemas.openxmlformats.org/markup-compatibility/2006">
          <mc:Choice Requires="x14">
            <control shapeId="1070" r:id="rId40" name="Check Box 46">
              <controlPr defaultSize="0" autoFill="0" autoLine="0" autoPict="0">
                <anchor moveWithCells="1">
                  <from>
                    <xdr:col>3</xdr:col>
                    <xdr:colOff>469900</xdr:colOff>
                    <xdr:row>206</xdr:row>
                    <xdr:rowOff>12700</xdr:rowOff>
                  </from>
                  <to>
                    <xdr:col>3</xdr:col>
                    <xdr:colOff>1054100</xdr:colOff>
                    <xdr:row>206</xdr:row>
                    <xdr:rowOff>177800</xdr:rowOff>
                  </to>
                </anchor>
              </controlPr>
            </control>
          </mc:Choice>
        </mc:AlternateContent>
        <mc:AlternateContent xmlns:mc="http://schemas.openxmlformats.org/markup-compatibility/2006">
          <mc:Choice Requires="x14">
            <control shapeId="1071" r:id="rId41" name="Check Box 47">
              <controlPr defaultSize="0" autoFill="0" autoLine="0" autoPict="0">
                <anchor moveWithCells="1">
                  <from>
                    <xdr:col>3</xdr:col>
                    <xdr:colOff>469900</xdr:colOff>
                    <xdr:row>207</xdr:row>
                    <xdr:rowOff>0</xdr:rowOff>
                  </from>
                  <to>
                    <xdr:col>3</xdr:col>
                    <xdr:colOff>1092200</xdr:colOff>
                    <xdr:row>208</xdr:row>
                    <xdr:rowOff>12700</xdr:rowOff>
                  </to>
                </anchor>
              </controlPr>
            </control>
          </mc:Choice>
        </mc:AlternateContent>
        <mc:AlternateContent xmlns:mc="http://schemas.openxmlformats.org/markup-compatibility/2006">
          <mc:Choice Requires="x14">
            <control shapeId="1072" r:id="rId42" name="Check Box 48">
              <controlPr defaultSize="0" autoFill="0" autoLine="0" autoPict="0">
                <anchor moveWithCells="1">
                  <from>
                    <xdr:col>3</xdr:col>
                    <xdr:colOff>469900</xdr:colOff>
                    <xdr:row>208</xdr:row>
                    <xdr:rowOff>12700</xdr:rowOff>
                  </from>
                  <to>
                    <xdr:col>3</xdr:col>
                    <xdr:colOff>1117600</xdr:colOff>
                    <xdr:row>208</xdr:row>
                    <xdr:rowOff>190500</xdr:rowOff>
                  </to>
                </anchor>
              </controlPr>
            </control>
          </mc:Choice>
        </mc:AlternateContent>
        <mc:AlternateContent xmlns:mc="http://schemas.openxmlformats.org/markup-compatibility/2006">
          <mc:Choice Requires="x14">
            <control shapeId="1073" r:id="rId43" name="Check Box 49">
              <controlPr defaultSize="0" autoFill="0" autoLine="0" autoPict="0">
                <anchor moveWithCells="1">
                  <from>
                    <xdr:col>3</xdr:col>
                    <xdr:colOff>469900</xdr:colOff>
                    <xdr:row>209</xdr:row>
                    <xdr:rowOff>12700</xdr:rowOff>
                  </from>
                  <to>
                    <xdr:col>3</xdr:col>
                    <xdr:colOff>1092200</xdr:colOff>
                    <xdr:row>209</xdr:row>
                    <xdr:rowOff>177800</xdr:rowOff>
                  </to>
                </anchor>
              </controlPr>
            </control>
          </mc:Choice>
        </mc:AlternateContent>
        <mc:AlternateContent xmlns:mc="http://schemas.openxmlformats.org/markup-compatibility/2006">
          <mc:Choice Requires="x14">
            <control shapeId="1074" r:id="rId44" name="Check Box 50">
              <controlPr defaultSize="0" autoFill="0" autoLine="0" autoPict="0">
                <anchor moveWithCells="1">
                  <from>
                    <xdr:col>3</xdr:col>
                    <xdr:colOff>469900</xdr:colOff>
                    <xdr:row>210</xdr:row>
                    <xdr:rowOff>12700</xdr:rowOff>
                  </from>
                  <to>
                    <xdr:col>3</xdr:col>
                    <xdr:colOff>1079500</xdr:colOff>
                    <xdr:row>211</xdr:row>
                    <xdr:rowOff>0</xdr:rowOff>
                  </to>
                </anchor>
              </controlPr>
            </control>
          </mc:Choice>
        </mc:AlternateContent>
        <mc:AlternateContent xmlns:mc="http://schemas.openxmlformats.org/markup-compatibility/2006">
          <mc:Choice Requires="x14">
            <control shapeId="1075" r:id="rId45" name="Check Box 51">
              <controlPr defaultSize="0" autoFill="0" autoLine="0" autoPict="0">
                <anchor moveWithCells="1">
                  <from>
                    <xdr:col>3</xdr:col>
                    <xdr:colOff>469900</xdr:colOff>
                    <xdr:row>211</xdr:row>
                    <xdr:rowOff>12700</xdr:rowOff>
                  </from>
                  <to>
                    <xdr:col>3</xdr:col>
                    <xdr:colOff>1104900</xdr:colOff>
                    <xdr:row>211</xdr:row>
                    <xdr:rowOff>177800</xdr:rowOff>
                  </to>
                </anchor>
              </controlPr>
            </control>
          </mc:Choice>
        </mc:AlternateContent>
        <mc:AlternateContent xmlns:mc="http://schemas.openxmlformats.org/markup-compatibility/2006">
          <mc:Choice Requires="x14">
            <control shapeId="1076" r:id="rId46" name="Check Box 52">
              <controlPr defaultSize="0" autoFill="0" autoLine="0" autoPict="0">
                <anchor moveWithCells="1">
                  <from>
                    <xdr:col>3</xdr:col>
                    <xdr:colOff>469900</xdr:colOff>
                    <xdr:row>212</xdr:row>
                    <xdr:rowOff>12700</xdr:rowOff>
                  </from>
                  <to>
                    <xdr:col>3</xdr:col>
                    <xdr:colOff>1117600</xdr:colOff>
                    <xdr:row>212</xdr:row>
                    <xdr:rowOff>177800</xdr:rowOff>
                  </to>
                </anchor>
              </controlPr>
            </control>
          </mc:Choice>
        </mc:AlternateContent>
        <mc:AlternateContent xmlns:mc="http://schemas.openxmlformats.org/markup-compatibility/2006">
          <mc:Choice Requires="x14">
            <control shapeId="1077" r:id="rId47" name="Check Box 53">
              <controlPr defaultSize="0" autoFill="0" autoLine="0" autoPict="0">
                <anchor moveWithCells="1">
                  <from>
                    <xdr:col>4</xdr:col>
                    <xdr:colOff>469900</xdr:colOff>
                    <xdr:row>202</xdr:row>
                    <xdr:rowOff>12700</xdr:rowOff>
                  </from>
                  <to>
                    <xdr:col>5</xdr:col>
                    <xdr:colOff>12700</xdr:colOff>
                    <xdr:row>202</xdr:row>
                    <xdr:rowOff>190500</xdr:rowOff>
                  </to>
                </anchor>
              </controlPr>
            </control>
          </mc:Choice>
        </mc:AlternateContent>
        <mc:AlternateContent xmlns:mc="http://schemas.openxmlformats.org/markup-compatibility/2006">
          <mc:Choice Requires="x14">
            <control shapeId="1078" r:id="rId48" name="Check Box 54">
              <controlPr defaultSize="0" autoFill="0" autoLine="0" autoPict="0">
                <anchor moveWithCells="1">
                  <from>
                    <xdr:col>4</xdr:col>
                    <xdr:colOff>469900</xdr:colOff>
                    <xdr:row>203</xdr:row>
                    <xdr:rowOff>12700</xdr:rowOff>
                  </from>
                  <to>
                    <xdr:col>5</xdr:col>
                    <xdr:colOff>0</xdr:colOff>
                    <xdr:row>203</xdr:row>
                    <xdr:rowOff>177800</xdr:rowOff>
                  </to>
                </anchor>
              </controlPr>
            </control>
          </mc:Choice>
        </mc:AlternateContent>
        <mc:AlternateContent xmlns:mc="http://schemas.openxmlformats.org/markup-compatibility/2006">
          <mc:Choice Requires="x14">
            <control shapeId="1079" r:id="rId49" name="Check Box 55">
              <controlPr defaultSize="0" autoFill="0" autoLine="0" autoPict="0">
                <anchor moveWithCells="1">
                  <from>
                    <xdr:col>4</xdr:col>
                    <xdr:colOff>469900</xdr:colOff>
                    <xdr:row>204</xdr:row>
                    <xdr:rowOff>0</xdr:rowOff>
                  </from>
                  <to>
                    <xdr:col>4</xdr:col>
                    <xdr:colOff>1104900</xdr:colOff>
                    <xdr:row>204</xdr:row>
                    <xdr:rowOff>190500</xdr:rowOff>
                  </to>
                </anchor>
              </controlPr>
            </control>
          </mc:Choice>
        </mc:AlternateContent>
        <mc:AlternateContent xmlns:mc="http://schemas.openxmlformats.org/markup-compatibility/2006">
          <mc:Choice Requires="x14">
            <control shapeId="1080" r:id="rId50" name="Check Box 56">
              <controlPr defaultSize="0" autoFill="0" autoLine="0" autoPict="0">
                <anchor moveWithCells="1">
                  <from>
                    <xdr:col>4</xdr:col>
                    <xdr:colOff>469900</xdr:colOff>
                    <xdr:row>205</xdr:row>
                    <xdr:rowOff>12700</xdr:rowOff>
                  </from>
                  <to>
                    <xdr:col>5</xdr:col>
                    <xdr:colOff>0</xdr:colOff>
                    <xdr:row>206</xdr:row>
                    <xdr:rowOff>0</xdr:rowOff>
                  </to>
                </anchor>
              </controlPr>
            </control>
          </mc:Choice>
        </mc:AlternateContent>
        <mc:AlternateContent xmlns:mc="http://schemas.openxmlformats.org/markup-compatibility/2006">
          <mc:Choice Requires="x14">
            <control shapeId="1081" r:id="rId51" name="Check Box 57">
              <controlPr defaultSize="0" autoFill="0" autoLine="0" autoPict="0">
                <anchor moveWithCells="1">
                  <from>
                    <xdr:col>4</xdr:col>
                    <xdr:colOff>469900</xdr:colOff>
                    <xdr:row>206</xdr:row>
                    <xdr:rowOff>12700</xdr:rowOff>
                  </from>
                  <to>
                    <xdr:col>4</xdr:col>
                    <xdr:colOff>1092200</xdr:colOff>
                    <xdr:row>206</xdr:row>
                    <xdr:rowOff>190500</xdr:rowOff>
                  </to>
                </anchor>
              </controlPr>
            </control>
          </mc:Choice>
        </mc:AlternateContent>
        <mc:AlternateContent xmlns:mc="http://schemas.openxmlformats.org/markup-compatibility/2006">
          <mc:Choice Requires="x14">
            <control shapeId="1082" r:id="rId52" name="Check Box 58">
              <controlPr defaultSize="0" autoFill="0" autoLine="0" autoPict="0">
                <anchor moveWithCells="1">
                  <from>
                    <xdr:col>4</xdr:col>
                    <xdr:colOff>469900</xdr:colOff>
                    <xdr:row>208</xdr:row>
                    <xdr:rowOff>12700</xdr:rowOff>
                  </from>
                  <to>
                    <xdr:col>4</xdr:col>
                    <xdr:colOff>1104900</xdr:colOff>
                    <xdr:row>208</xdr:row>
                    <xdr:rowOff>190500</xdr:rowOff>
                  </to>
                </anchor>
              </controlPr>
            </control>
          </mc:Choice>
        </mc:AlternateContent>
        <mc:AlternateContent xmlns:mc="http://schemas.openxmlformats.org/markup-compatibility/2006">
          <mc:Choice Requires="x14">
            <control shapeId="1083" r:id="rId53" name="Check Box 59">
              <controlPr defaultSize="0" autoFill="0" autoLine="0" autoPict="0">
                <anchor moveWithCells="1">
                  <from>
                    <xdr:col>4</xdr:col>
                    <xdr:colOff>469900</xdr:colOff>
                    <xdr:row>209</xdr:row>
                    <xdr:rowOff>12700</xdr:rowOff>
                  </from>
                  <to>
                    <xdr:col>4</xdr:col>
                    <xdr:colOff>1117600</xdr:colOff>
                    <xdr:row>209</xdr:row>
                    <xdr:rowOff>177800</xdr:rowOff>
                  </to>
                </anchor>
              </controlPr>
            </control>
          </mc:Choice>
        </mc:AlternateContent>
        <mc:AlternateContent xmlns:mc="http://schemas.openxmlformats.org/markup-compatibility/2006">
          <mc:Choice Requires="x14">
            <control shapeId="1084" r:id="rId54" name="Check Box 60">
              <controlPr defaultSize="0" autoFill="0" autoLine="0" autoPict="0">
                <anchor moveWithCells="1">
                  <from>
                    <xdr:col>4</xdr:col>
                    <xdr:colOff>469900</xdr:colOff>
                    <xdr:row>210</xdr:row>
                    <xdr:rowOff>12700</xdr:rowOff>
                  </from>
                  <to>
                    <xdr:col>4</xdr:col>
                    <xdr:colOff>1092200</xdr:colOff>
                    <xdr:row>210</xdr:row>
                    <xdr:rowOff>190500</xdr:rowOff>
                  </to>
                </anchor>
              </controlPr>
            </control>
          </mc:Choice>
        </mc:AlternateContent>
        <mc:AlternateContent xmlns:mc="http://schemas.openxmlformats.org/markup-compatibility/2006">
          <mc:Choice Requires="x14">
            <control shapeId="1085" r:id="rId55" name="Check Box 61">
              <controlPr defaultSize="0" autoFill="0" autoLine="0" autoPict="0">
                <anchor moveWithCells="1">
                  <from>
                    <xdr:col>4</xdr:col>
                    <xdr:colOff>469900</xdr:colOff>
                    <xdr:row>211</xdr:row>
                    <xdr:rowOff>12700</xdr:rowOff>
                  </from>
                  <to>
                    <xdr:col>4</xdr:col>
                    <xdr:colOff>1117600</xdr:colOff>
                    <xdr:row>211</xdr:row>
                    <xdr:rowOff>190500</xdr:rowOff>
                  </to>
                </anchor>
              </controlPr>
            </control>
          </mc:Choice>
        </mc:AlternateContent>
        <mc:AlternateContent xmlns:mc="http://schemas.openxmlformats.org/markup-compatibility/2006">
          <mc:Choice Requires="x14">
            <control shapeId="1086" r:id="rId56" name="Check Box 62">
              <controlPr defaultSize="0" autoFill="0" autoLine="0" autoPict="0">
                <anchor moveWithCells="1">
                  <from>
                    <xdr:col>4</xdr:col>
                    <xdr:colOff>469900</xdr:colOff>
                    <xdr:row>212</xdr:row>
                    <xdr:rowOff>12700</xdr:rowOff>
                  </from>
                  <to>
                    <xdr:col>4</xdr:col>
                    <xdr:colOff>1104900</xdr:colOff>
                    <xdr:row>212</xdr:row>
                    <xdr:rowOff>177800</xdr:rowOff>
                  </to>
                </anchor>
              </controlPr>
            </control>
          </mc:Choice>
        </mc:AlternateContent>
        <mc:AlternateContent xmlns:mc="http://schemas.openxmlformats.org/markup-compatibility/2006">
          <mc:Choice Requires="x14">
            <control shapeId="1090" r:id="rId57" name="Check Box 66">
              <controlPr defaultSize="0" autoFill="0" autoLine="0" autoPict="0">
                <anchor moveWithCells="1">
                  <from>
                    <xdr:col>0</xdr:col>
                    <xdr:colOff>76200</xdr:colOff>
                    <xdr:row>119</xdr:row>
                    <xdr:rowOff>165100</xdr:rowOff>
                  </from>
                  <to>
                    <xdr:col>0</xdr:col>
                    <xdr:colOff>342900</xdr:colOff>
                    <xdr:row>121</xdr:row>
                    <xdr:rowOff>25400</xdr:rowOff>
                  </to>
                </anchor>
              </controlPr>
            </control>
          </mc:Choice>
        </mc:AlternateContent>
        <mc:AlternateContent xmlns:mc="http://schemas.openxmlformats.org/markup-compatibility/2006">
          <mc:Choice Requires="x14">
            <control shapeId="1091" r:id="rId58" name="Check Box 67">
              <controlPr defaultSize="0" autoFill="0" autoLine="0" autoPict="0">
                <anchor moveWithCells="1">
                  <from>
                    <xdr:col>0</xdr:col>
                    <xdr:colOff>76200</xdr:colOff>
                    <xdr:row>120</xdr:row>
                    <xdr:rowOff>203200</xdr:rowOff>
                  </from>
                  <to>
                    <xdr:col>1</xdr:col>
                    <xdr:colOff>12700</xdr:colOff>
                    <xdr:row>122</xdr:row>
                    <xdr:rowOff>25400</xdr:rowOff>
                  </to>
                </anchor>
              </controlPr>
            </control>
          </mc:Choice>
        </mc:AlternateContent>
        <mc:AlternateContent xmlns:mc="http://schemas.openxmlformats.org/markup-compatibility/2006">
          <mc:Choice Requires="x14">
            <control shapeId="1092" r:id="rId59" name="Check Box 68">
              <controlPr defaultSize="0" autoFill="0" autoLine="0" autoPict="0">
                <anchor moveWithCells="1">
                  <from>
                    <xdr:col>0</xdr:col>
                    <xdr:colOff>76200</xdr:colOff>
                    <xdr:row>121</xdr:row>
                    <xdr:rowOff>203200</xdr:rowOff>
                  </from>
                  <to>
                    <xdr:col>0</xdr:col>
                    <xdr:colOff>317500</xdr:colOff>
                    <xdr:row>123</xdr:row>
                    <xdr:rowOff>25400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answers</vt: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Roth, Carrie</dc:creator>
  <cp:lastModifiedBy>Maria Fernanda LandinEstrada</cp:lastModifiedBy>
  <cp:lastPrinted>2022-09-29T16:04:06Z</cp:lastPrinted>
  <dcterms:created xsi:type="dcterms:W3CDTF">2022-08-08T22:15:06Z</dcterms:created>
  <dcterms:modified xsi:type="dcterms:W3CDTF">2023-05-16T17:45:23Z</dcterms:modified>
</cp:coreProperties>
</file>