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pbradley/Library/CloudStorage/GoogleDrive-pbradley@allegheny.edu/Shared drives/Institutional Research/Institutional Research Department Data/Common Data Set/2023-2024/"/>
    </mc:Choice>
  </mc:AlternateContent>
  <xr:revisionPtr revIDLastSave="0" documentId="13_ncr:1_{C7427F96-5FB1-F04B-BAF5-EF5061E60537}" xr6:coauthVersionLast="47" xr6:coauthVersionMax="47" xr10:uidLastSave="{00000000-0000-0000-0000-000000000000}"/>
  <workbookProtection workbookAlgorithmName="SHA-512" workbookHashValue="Zas2WsO3voydY6KT0qJLL7lqWCsOPDSIAn8XMJJiMhSg0i8J9UYjJa05lO9YuGhYyGut5qvyB0d4+WGI6obRTQ==" workbookSaltValue="ihuF1WLjrgQQIJg9sMulBQ==" workbookSpinCount="100000" lockStructure="1"/>
  <bookViews>
    <workbookView xWindow="5040" yWindow="500" windowWidth="29400" windowHeight="17340" activeTab="6" xr2:uid="{B592CF3B-C097-074B-909E-39EA74D2F2C2}"/>
  </bookViews>
  <sheets>
    <sheet name="answers" sheetId="1" state="hidden" r:id="rId1"/>
    <sheet name="validations" sheetId="17" state="hidden" r:id="rId2"/>
    <sheet name="multi select" sheetId="18" state="hidden" r:id="rId3"/>
    <sheet name="Start Here" sheetId="16" r:id="rId4"/>
    <sheet name="Scratch Pad" sheetId="19" r:id="rId5"/>
    <sheet name="CDS-A" sheetId="4" r:id="rId6"/>
    <sheet name="CDS-B" sheetId="5" r:id="rId7"/>
    <sheet name="CDS-C" sheetId="6" r:id="rId8"/>
    <sheet name="CDS-D" sheetId="7" r:id="rId9"/>
    <sheet name="CDS-E" sheetId="8" r:id="rId10"/>
    <sheet name="CDS-F" sheetId="9" r:id="rId11"/>
    <sheet name="CDS-G" sheetId="10" r:id="rId12"/>
    <sheet name="CDS-H" sheetId="11" r:id="rId13"/>
    <sheet name="CDS-I" sheetId="13" r:id="rId14"/>
    <sheet name="CDS-J" sheetId="14" r:id="rId15"/>
    <sheet name="DEFINITIONS" sheetId="15" r:id="rId16"/>
  </sheets>
  <definedNames>
    <definedName name="_xlnm._FilterDatabase" localSheetId="0" hidden="1">answers!$A$1:$H$862</definedName>
    <definedName name="_Hlk22631867" localSheetId="15">DEFINITIONS!$A$97</definedName>
    <definedName name="OLE_LINK2" localSheetId="7">'CDS-C'!$A$3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I4" i="18" l="1"/>
  <c r="AU12" i="18"/>
  <c r="AU11" i="18"/>
  <c r="AU10" i="18"/>
  <c r="AU9" i="18"/>
  <c r="AU6" i="18"/>
  <c r="AU3" i="18"/>
  <c r="AS3" i="18"/>
  <c r="AS12" i="18"/>
  <c r="AS11" i="18"/>
  <c r="AS10" i="18"/>
  <c r="AS9" i="18"/>
  <c r="AS6" i="18"/>
  <c r="AO8" i="18"/>
  <c r="AQ6" i="18" l="1"/>
  <c r="AQ5" i="18"/>
  <c r="AO9" i="18"/>
  <c r="AO7" i="18"/>
  <c r="AO6" i="18"/>
  <c r="AO5" i="18"/>
  <c r="AO4" i="18"/>
  <c r="AO3" i="18"/>
  <c r="AO2" i="18"/>
  <c r="B2" i="1"/>
  <c r="AI3" i="18"/>
  <c r="AI2" i="18"/>
  <c r="G683" i="1"/>
  <c r="C683" i="1" s="1"/>
  <c r="G680" i="1"/>
  <c r="C680" i="1" s="1"/>
  <c r="G677" i="1"/>
  <c r="C677" i="1" s="1"/>
  <c r="G674" i="1"/>
  <c r="C674" i="1" s="1"/>
  <c r="G671" i="1"/>
  <c r="C671" i="1" s="1"/>
  <c r="G644" i="1"/>
  <c r="C644" i="1" s="1"/>
  <c r="G643" i="1"/>
  <c r="C643" i="1" s="1"/>
  <c r="G642" i="1"/>
  <c r="C642" i="1" s="1"/>
  <c r="U12" i="18"/>
  <c r="Q2" i="18"/>
  <c r="Q4" i="18"/>
  <c r="C441" i="1"/>
  <c r="C438" i="1"/>
  <c r="C252" i="1"/>
  <c r="C251" i="1"/>
  <c r="C96" i="1"/>
  <c r="K2" i="18"/>
  <c r="K5" i="18"/>
  <c r="K4" i="18"/>
  <c r="K3" i="18"/>
  <c r="G533" i="1"/>
  <c r="C533" i="1" s="1"/>
  <c r="G534" i="1"/>
  <c r="C534" i="1" s="1"/>
  <c r="G535" i="1"/>
  <c r="C535" i="1" s="1"/>
  <c r="G536" i="1"/>
  <c r="C536" i="1" s="1"/>
  <c r="G537" i="1"/>
  <c r="C537" i="1" s="1"/>
  <c r="G532" i="1"/>
  <c r="C532" i="1" s="1"/>
  <c r="G529" i="1"/>
  <c r="C529" i="1" s="1"/>
  <c r="G528" i="1"/>
  <c r="C528" i="1" s="1"/>
  <c r="G527" i="1"/>
  <c r="C527" i="1" s="1"/>
  <c r="G526" i="1"/>
  <c r="C526" i="1" s="1"/>
  <c r="G525" i="1"/>
  <c r="C525" i="1" s="1"/>
  <c r="G524" i="1"/>
  <c r="C524" i="1" s="1"/>
  <c r="C523" i="1"/>
  <c r="C461" i="1"/>
  <c r="C463" i="1"/>
  <c r="C462" i="1"/>
  <c r="C16" i="7"/>
  <c r="E16" i="7"/>
  <c r="D16" i="7"/>
  <c r="G419" i="1"/>
  <c r="C419" i="1" s="1"/>
  <c r="G410" i="1"/>
  <c r="C410" i="1" s="1"/>
  <c r="G411" i="1"/>
  <c r="C411" i="1" s="1"/>
  <c r="G412" i="1"/>
  <c r="C412" i="1" s="1"/>
  <c r="G413" i="1"/>
  <c r="C413" i="1" s="1"/>
  <c r="G414" i="1"/>
  <c r="C414" i="1" s="1"/>
  <c r="G415" i="1"/>
  <c r="C415" i="1" s="1"/>
  <c r="G416" i="1"/>
  <c r="C416" i="1" s="1"/>
  <c r="G417" i="1"/>
  <c r="C417" i="1" s="1"/>
  <c r="G409" i="1"/>
  <c r="C409" i="1" s="1"/>
  <c r="G401" i="1"/>
  <c r="C401" i="1" s="1"/>
  <c r="G402" i="1"/>
  <c r="C402" i="1" s="1"/>
  <c r="G403" i="1"/>
  <c r="C403" i="1" s="1"/>
  <c r="G404" i="1"/>
  <c r="C404" i="1" s="1"/>
  <c r="G405" i="1"/>
  <c r="C405" i="1" s="1"/>
  <c r="G406" i="1"/>
  <c r="C406" i="1" s="1"/>
  <c r="G407" i="1"/>
  <c r="C407" i="1" s="1"/>
  <c r="G408" i="1"/>
  <c r="C408" i="1" s="1"/>
  <c r="G400" i="1"/>
  <c r="C400" i="1" s="1"/>
  <c r="G392" i="1"/>
  <c r="C392" i="1" s="1"/>
  <c r="G393" i="1"/>
  <c r="C393" i="1" s="1"/>
  <c r="G394" i="1"/>
  <c r="C394" i="1" s="1"/>
  <c r="G395" i="1"/>
  <c r="C395" i="1" s="1"/>
  <c r="G396" i="1"/>
  <c r="C396" i="1" s="1"/>
  <c r="G397" i="1"/>
  <c r="C397" i="1" s="1"/>
  <c r="G398" i="1"/>
  <c r="C398" i="1" s="1"/>
  <c r="G399" i="1"/>
  <c r="C399" i="1" s="1"/>
  <c r="G391" i="1"/>
  <c r="C391" i="1" s="1"/>
  <c r="G386" i="1"/>
  <c r="C386" i="1" s="1"/>
  <c r="G387" i="1"/>
  <c r="C387" i="1" s="1"/>
  <c r="G388" i="1"/>
  <c r="C388" i="1" s="1"/>
  <c r="G389" i="1"/>
  <c r="C389" i="1" s="1"/>
  <c r="G390" i="1"/>
  <c r="C390" i="1" s="1"/>
  <c r="G385" i="1"/>
  <c r="C385" i="1" s="1"/>
  <c r="G380" i="1"/>
  <c r="C380" i="1" s="1"/>
  <c r="G381" i="1"/>
  <c r="C381" i="1" s="1"/>
  <c r="G382" i="1"/>
  <c r="C382" i="1" s="1"/>
  <c r="G383" i="1"/>
  <c r="C383" i="1" s="1"/>
  <c r="G384" i="1"/>
  <c r="C384" i="1" s="1"/>
  <c r="G379" i="1"/>
  <c r="C379" i="1" s="1"/>
  <c r="G374" i="1"/>
  <c r="C374" i="1" s="1"/>
  <c r="G375" i="1"/>
  <c r="C375" i="1" s="1"/>
  <c r="G376" i="1"/>
  <c r="C376" i="1" s="1"/>
  <c r="G377" i="1"/>
  <c r="C377" i="1" s="1"/>
  <c r="G378" i="1"/>
  <c r="C378" i="1" s="1"/>
  <c r="G373" i="1"/>
  <c r="C373" i="1" s="1"/>
  <c r="G368" i="1"/>
  <c r="C368" i="1" s="1"/>
  <c r="G369" i="1"/>
  <c r="C369" i="1" s="1"/>
  <c r="G370" i="1"/>
  <c r="C370" i="1" s="1"/>
  <c r="G371" i="1"/>
  <c r="C371" i="1" s="1"/>
  <c r="G372" i="1"/>
  <c r="C372" i="1" s="1"/>
  <c r="G367" i="1"/>
  <c r="C367" i="1" s="1"/>
  <c r="G362" i="1"/>
  <c r="C362" i="1" s="1"/>
  <c r="G363" i="1"/>
  <c r="C363" i="1" s="1"/>
  <c r="G364" i="1"/>
  <c r="C364" i="1" s="1"/>
  <c r="G365" i="1"/>
  <c r="C365" i="1" s="1"/>
  <c r="G366" i="1"/>
  <c r="C366" i="1" s="1"/>
  <c r="G361" i="1"/>
  <c r="C361" i="1" s="1"/>
  <c r="G356" i="1"/>
  <c r="C356" i="1" s="1"/>
  <c r="G357" i="1"/>
  <c r="C357" i="1" s="1"/>
  <c r="G358" i="1"/>
  <c r="C358" i="1" s="1"/>
  <c r="G359" i="1"/>
  <c r="C359" i="1" s="1"/>
  <c r="G360" i="1"/>
  <c r="C360" i="1" s="1"/>
  <c r="G355" i="1"/>
  <c r="C355" i="1" s="1"/>
  <c r="G354" i="1"/>
  <c r="C354" i="1" s="1"/>
  <c r="G350" i="1"/>
  <c r="C350" i="1" s="1"/>
  <c r="G351" i="1"/>
  <c r="C351" i="1" s="1"/>
  <c r="G352" i="1"/>
  <c r="C352" i="1" s="1"/>
  <c r="G353" i="1"/>
  <c r="C353" i="1" s="1"/>
  <c r="G349" i="1"/>
  <c r="C349" i="1" s="1"/>
  <c r="B375" i="1" a="1"/>
  <c r="B373" i="1" a="1"/>
  <c r="B537" i="1" a="1"/>
  <c r="B356" i="1" a="1"/>
  <c r="B407" i="1" a="1"/>
  <c r="B381" i="1" a="1"/>
  <c r="B404" i="1" a="1"/>
  <c r="B374" i="1" a="1"/>
  <c r="B379" i="1" a="1"/>
  <c r="B372" i="1" a="1"/>
  <c r="B524" i="1" a="1"/>
  <c r="B357" i="1" a="1"/>
  <c r="B542" i="1" a="1"/>
  <c r="B677" i="1" a="1"/>
  <c r="B536" i="1" a="1"/>
  <c r="B415" i="1" a="1"/>
  <c r="B378" i="1" a="1"/>
  <c r="B412" i="1" a="1"/>
  <c r="B393" i="1" a="1"/>
  <c r="B360" i="1" a="1"/>
  <c r="B391" i="1" a="1"/>
  <c r="B408" i="1" a="1"/>
  <c r="B523" i="1" a="1"/>
  <c r="B382" i="1" a="1"/>
  <c r="B366" i="1" a="1"/>
  <c r="B417" i="1" a="1"/>
  <c r="B385" i="1" a="1"/>
  <c r="B527" i="1" a="1"/>
  <c r="B390" i="1" a="1"/>
  <c r="B526" i="1" a="1"/>
  <c r="B354" i="1" a="1"/>
  <c r="B534" i="1" a="1"/>
  <c r="B463" i="1" a="1"/>
  <c r="B671" i="1" a="1"/>
  <c r="B528" i="1" a="1"/>
  <c r="B399" i="1" a="1"/>
  <c r="B405" i="1" a="1"/>
  <c r="B394" i="1" a="1"/>
  <c r="B461" i="1" a="1"/>
  <c r="B410" i="1" a="1"/>
  <c r="B438" i="1" a="1"/>
  <c r="B441" i="1" a="1"/>
  <c r="B377" i="1" a="1"/>
  <c r="B403" i="1" a="1"/>
  <c r="B362" i="1" a="1"/>
  <c r="B416" i="1" a="1"/>
  <c r="B674" i="1" a="1"/>
  <c r="B363" i="1" a="1"/>
  <c r="B376" i="1" a="1"/>
  <c r="B383" i="1" a="1"/>
  <c r="B392" i="1" a="1"/>
  <c r="B411" i="1" a="1"/>
  <c r="B683" i="1" a="1"/>
  <c r="B367" i="1" a="1"/>
  <c r="B350" i="1" a="1"/>
  <c r="B406" i="1" a="1"/>
  <c r="B400" i="1" a="1"/>
  <c r="B532" i="1" a="1"/>
  <c r="B386" i="1" a="1"/>
  <c r="B389" i="1" a="1"/>
  <c r="B359" i="1" a="1"/>
  <c r="B251" i="1" a="1"/>
  <c r="B398" i="1" a="1"/>
  <c r="B413" i="1" a="1"/>
  <c r="B409" i="1" a="1"/>
  <c r="B380" i="1" a="1"/>
  <c r="B544" i="1" a="1"/>
  <c r="B353" i="1" a="1"/>
  <c r="B369" i="1" a="1"/>
  <c r="B546" i="1" a="1"/>
  <c r="B419" i="1" a="1"/>
  <c r="B397" i="1" a="1"/>
  <c r="B529" i="1" a="1"/>
  <c r="B643" i="1" a="1"/>
  <c r="B364" i="1" a="1"/>
  <c r="B355" i="1" a="1"/>
  <c r="B533" i="1" a="1"/>
  <c r="B535" i="1" a="1"/>
  <c r="B462" i="1" a="1"/>
  <c r="B402" i="1" a="1"/>
  <c r="B358" i="1" a="1"/>
  <c r="B414" i="1" a="1"/>
  <c r="B361" i="1" a="1"/>
  <c r="B352" i="1" a="1"/>
  <c r="B252" i="1" a="1"/>
  <c r="B371" i="1" a="1"/>
  <c r="B351" i="1" a="1"/>
  <c r="B525" i="1" a="1"/>
  <c r="B644" i="1" a="1"/>
  <c r="B388" i="1" a="1"/>
  <c r="B370" i="1" a="1"/>
  <c r="B384" i="1" a="1"/>
  <c r="B642" i="1" a="1"/>
  <c r="B680" i="1" a="1"/>
  <c r="B401" i="1" a="1"/>
  <c r="B365" i="1" a="1"/>
  <c r="B96" i="1" a="1"/>
  <c r="B395" i="1" a="1"/>
  <c r="B396" i="1" a="1"/>
  <c r="B349" i="1" a="1"/>
  <c r="B368" i="1" a="1"/>
  <c r="B387" i="1" a="1"/>
  <c r="B409" i="1" l="1"/>
  <c r="B386" i="1"/>
  <c r="B385" i="1"/>
  <c r="B406" i="1"/>
  <c r="B382" i="1"/>
  <c r="B524" i="1"/>
  <c r="B674" i="1"/>
  <c r="B349" i="1"/>
  <c r="B361" i="1"/>
  <c r="B366" i="1"/>
  <c r="B372" i="1"/>
  <c r="B364" i="1"/>
  <c r="B363" i="1"/>
  <c r="B354" i="1"/>
  <c r="B410" i="1"/>
  <c r="B415" i="1"/>
  <c r="B360" i="1"/>
  <c r="B352" i="1"/>
  <c r="B417" i="1"/>
  <c r="B357" i="1"/>
  <c r="B407" i="1"/>
  <c r="B404" i="1"/>
  <c r="B356" i="1"/>
  <c r="B526" i="1"/>
  <c r="B642" i="1"/>
  <c r="B371" i="1"/>
  <c r="B387" i="1"/>
  <c r="B397" i="1"/>
  <c r="B535" i="1"/>
  <c r="B379" i="1"/>
  <c r="B391" i="1"/>
  <c r="B355" i="1"/>
  <c r="B367" i="1"/>
  <c r="B395" i="1"/>
  <c r="B413" i="1"/>
  <c r="B411" i="1"/>
  <c r="B401" i="1"/>
  <c r="B405" i="1"/>
  <c r="B351" i="1"/>
  <c r="B383" i="1"/>
  <c r="B398" i="1"/>
  <c r="B350" i="1"/>
  <c r="B525" i="1"/>
  <c r="B644" i="1"/>
  <c r="B359" i="1"/>
  <c r="B389" i="1"/>
  <c r="B399" i="1"/>
  <c r="B377" i="1"/>
  <c r="B393" i="1"/>
  <c r="B365" i="1"/>
  <c r="B392" i="1"/>
  <c r="B532" i="1"/>
  <c r="B643" i="1"/>
  <c r="B394" i="1"/>
  <c r="B412" i="1"/>
  <c r="B671" i="1"/>
  <c r="B353" i="1"/>
  <c r="B381" i="1"/>
  <c r="B380" i="1"/>
  <c r="B536" i="1"/>
  <c r="B403" i="1"/>
  <c r="B408" i="1"/>
  <c r="B400" i="1"/>
  <c r="B388" i="1"/>
  <c r="B375" i="1"/>
  <c r="B414" i="1"/>
  <c r="B358" i="1"/>
  <c r="B374" i="1"/>
  <c r="B529" i="1"/>
  <c r="B534" i="1"/>
  <c r="B677" i="1"/>
  <c r="B373" i="1"/>
  <c r="B390" i="1"/>
  <c r="B396" i="1"/>
  <c r="B376" i="1"/>
  <c r="B402" i="1"/>
  <c r="B370" i="1"/>
  <c r="B369" i="1"/>
  <c r="B384" i="1"/>
  <c r="B416" i="1"/>
  <c r="B368" i="1"/>
  <c r="B528" i="1"/>
  <c r="B537" i="1"/>
  <c r="B680" i="1"/>
  <c r="B378" i="1"/>
  <c r="B362" i="1"/>
  <c r="B527" i="1"/>
  <c r="B533" i="1"/>
  <c r="B683" i="1"/>
  <c r="B461" i="1"/>
  <c r="B419" i="1"/>
  <c r="B96" i="1"/>
  <c r="B251" i="1"/>
  <c r="B252" i="1"/>
  <c r="B441" i="1"/>
  <c r="B462" i="1"/>
  <c r="B523" i="1"/>
  <c r="B544" i="1"/>
  <c r="B438" i="1"/>
  <c r="B463" i="1"/>
  <c r="B542" i="1"/>
  <c r="B546" i="1"/>
  <c r="G344" i="1"/>
  <c r="C344" i="1" s="1"/>
  <c r="G345" i="1"/>
  <c r="C345" i="1" s="1"/>
  <c r="G346" i="1"/>
  <c r="C346" i="1" s="1"/>
  <c r="G347" i="1"/>
  <c r="C347" i="1" s="1"/>
  <c r="G348" i="1"/>
  <c r="C348" i="1" s="1"/>
  <c r="G343" i="1"/>
  <c r="C343" i="1" s="1"/>
  <c r="G338" i="1"/>
  <c r="C338" i="1" s="1"/>
  <c r="G339" i="1"/>
  <c r="C339" i="1" s="1"/>
  <c r="G340" i="1"/>
  <c r="C340" i="1" s="1"/>
  <c r="G341" i="1"/>
  <c r="C341" i="1" s="1"/>
  <c r="G342" i="1"/>
  <c r="C342" i="1" s="1"/>
  <c r="G337" i="1"/>
  <c r="C337" i="1" s="1"/>
  <c r="G316" i="1"/>
  <c r="C316" i="1" s="1"/>
  <c r="G315" i="1"/>
  <c r="C315" i="1" s="1"/>
  <c r="G223" i="1"/>
  <c r="C223" i="1" s="1"/>
  <c r="E104" i="5"/>
  <c r="D104" i="5"/>
  <c r="E92" i="5"/>
  <c r="F92" i="5"/>
  <c r="D92" i="5"/>
  <c r="E81" i="5"/>
  <c r="F81" i="5"/>
  <c r="D81" i="5"/>
  <c r="B11" i="18" a="1"/>
  <c r="B11" i="18" s="1"/>
  <c r="E29" i="5" a="1"/>
  <c r="E29" i="5" s="1"/>
  <c r="E31" i="5"/>
  <c r="E30" i="5" a="1"/>
  <c r="E30" i="5" s="1"/>
  <c r="E13" i="5"/>
  <c r="C56" i="1" s="1"/>
  <c r="C52" i="1"/>
  <c r="C51" i="1"/>
  <c r="C50" i="1"/>
  <c r="C49" i="1"/>
  <c r="C48" i="1"/>
  <c r="C47" i="1"/>
  <c r="C46" i="1"/>
  <c r="C45" i="1"/>
  <c r="C44" i="1"/>
  <c r="C43" i="1"/>
  <c r="C42" i="1"/>
  <c r="C41" i="1"/>
  <c r="C40" i="1"/>
  <c r="C39" i="1"/>
  <c r="C38" i="1"/>
  <c r="C37" i="1"/>
  <c r="C36" i="1"/>
  <c r="C35" i="1"/>
  <c r="G698" i="1"/>
  <c r="C698" i="1" s="1" a="1"/>
  <c r="C698" i="1" s="1"/>
  <c r="G697" i="1"/>
  <c r="C697" i="1" s="1" a="1"/>
  <c r="C697" i="1" s="1"/>
  <c r="G696" i="1"/>
  <c r="C696" i="1" s="1" a="1"/>
  <c r="C696" i="1" s="1"/>
  <c r="G695" i="1"/>
  <c r="C695" i="1" s="1" a="1"/>
  <c r="C695" i="1" s="1"/>
  <c r="G694" i="1"/>
  <c r="C694" i="1" s="1" a="1"/>
  <c r="C694" i="1" s="1"/>
  <c r="G450" i="1"/>
  <c r="C450" i="1" s="1" a="1"/>
  <c r="C450" i="1" s="1"/>
  <c r="G449" i="1"/>
  <c r="C449" i="1" s="1" a="1"/>
  <c r="C449" i="1" s="1"/>
  <c r="G446" i="1"/>
  <c r="C446" i="1" s="1" a="1"/>
  <c r="C446" i="1" s="1"/>
  <c r="G445" i="1"/>
  <c r="C445" i="1" s="1" a="1"/>
  <c r="C445" i="1" s="1"/>
  <c r="G444" i="1"/>
  <c r="C444" i="1" s="1" a="1"/>
  <c r="C444" i="1" s="1"/>
  <c r="G443" i="1"/>
  <c r="C443" i="1" s="1" a="1"/>
  <c r="C443" i="1" s="1"/>
  <c r="G436" i="1"/>
  <c r="C436" i="1" s="1" a="1"/>
  <c r="C436" i="1" s="1"/>
  <c r="G433" i="1"/>
  <c r="C433" i="1" s="1" a="1"/>
  <c r="C433" i="1" s="1"/>
  <c r="G431" i="1"/>
  <c r="C431" i="1" s="1" a="1"/>
  <c r="C431" i="1" s="1"/>
  <c r="G430" i="1"/>
  <c r="C430" i="1" s="1" a="1"/>
  <c r="C430" i="1" s="1"/>
  <c r="G427" i="1"/>
  <c r="C427" i="1" s="1" a="1"/>
  <c r="C427" i="1" s="1"/>
  <c r="G426" i="1"/>
  <c r="C426" i="1" s="1" a="1"/>
  <c r="C426" i="1" s="1"/>
  <c r="G311" i="1"/>
  <c r="C311" i="1" s="1" a="1"/>
  <c r="C311" i="1" s="1"/>
  <c r="C434" i="1"/>
  <c r="C432" i="1"/>
  <c r="AU8" i="18"/>
  <c r="AU7" i="18"/>
  <c r="AU5" i="18"/>
  <c r="AU4" i="18"/>
  <c r="AU2" i="18"/>
  <c r="AS8" i="18"/>
  <c r="AS7" i="18"/>
  <c r="AS5" i="18"/>
  <c r="AS4" i="18"/>
  <c r="AS2" i="18"/>
  <c r="AQ9" i="18"/>
  <c r="AQ8" i="18"/>
  <c r="AQ7" i="18"/>
  <c r="AQ4" i="18"/>
  <c r="AQ3" i="18"/>
  <c r="AQ2" i="18"/>
  <c r="AK4" i="18"/>
  <c r="AK3" i="18"/>
  <c r="AK2" i="18"/>
  <c r="AM7" i="18"/>
  <c r="AM6" i="18"/>
  <c r="AM5" i="18"/>
  <c r="AM4" i="18"/>
  <c r="AM3" i="18"/>
  <c r="AM2" i="18"/>
  <c r="C685" i="1"/>
  <c r="C592" i="1"/>
  <c r="C591" i="1"/>
  <c r="C590" i="1"/>
  <c r="C589" i="1"/>
  <c r="C588" i="1"/>
  <c r="C587" i="1"/>
  <c r="C586" i="1"/>
  <c r="C585" i="1"/>
  <c r="C584" i="1"/>
  <c r="C583" i="1"/>
  <c r="C582" i="1"/>
  <c r="C581" i="1"/>
  <c r="C580" i="1"/>
  <c r="C579" i="1"/>
  <c r="C578" i="1"/>
  <c r="C577" i="1"/>
  <c r="C576" i="1"/>
  <c r="C575" i="1"/>
  <c r="C574" i="1"/>
  <c r="C573" i="1"/>
  <c r="C572" i="1"/>
  <c r="C571" i="1"/>
  <c r="C570" i="1"/>
  <c r="C569" i="1"/>
  <c r="C568" i="1"/>
  <c r="C567" i="1"/>
  <c r="C566" i="1"/>
  <c r="C565" i="1"/>
  <c r="C564" i="1"/>
  <c r="C563" i="1"/>
  <c r="C562" i="1"/>
  <c r="C561" i="1"/>
  <c r="C560" i="1"/>
  <c r="C559" i="1"/>
  <c r="C558" i="1"/>
  <c r="C557" i="1"/>
  <c r="C556" i="1"/>
  <c r="C555" i="1"/>
  <c r="C554" i="1"/>
  <c r="C553" i="1"/>
  <c r="C552" i="1"/>
  <c r="C551" i="1"/>
  <c r="C550" i="1"/>
  <c r="C549" i="1"/>
  <c r="AG2" i="18"/>
  <c r="C548" i="1"/>
  <c r="C539" i="1"/>
  <c r="C538" i="1"/>
  <c r="C531" i="1"/>
  <c r="C530" i="1"/>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C521" i="1"/>
  <c r="B341" i="1" a="1"/>
  <c r="B698" i="1" a="1"/>
  <c r="B49" i="1" a="1"/>
  <c r="B433" i="1" a="1"/>
  <c r="B530" i="1" a="1"/>
  <c r="B521" i="1" a="1"/>
  <c r="B561" i="1" a="1"/>
  <c r="B345" i="1" a="1"/>
  <c r="B311" i="1" a="1"/>
  <c r="B347" i="1" a="1"/>
  <c r="B591" i="1" a="1"/>
  <c r="B37" i="1" a="1"/>
  <c r="B43" i="1" a="1"/>
  <c r="B444" i="1" a="1"/>
  <c r="B337" i="1" a="1"/>
  <c r="B551" i="1" a="1"/>
  <c r="B574" i="1" a="1"/>
  <c r="B563" i="1" a="1"/>
  <c r="B449" i="1" a="1"/>
  <c r="B450" i="1" a="1"/>
  <c r="B39" i="1" a="1"/>
  <c r="B45" i="1" a="1"/>
  <c r="B342" i="1" a="1"/>
  <c r="B590" i="1" a="1"/>
  <c r="B582" i="1" a="1"/>
  <c r="B575" i="1" a="1"/>
  <c r="B52" i="1" a="1"/>
  <c r="B50" i="1" a="1"/>
  <c r="B556" i="1" a="1"/>
  <c r="B340" i="1" a="1"/>
  <c r="B581" i="1" a="1"/>
  <c r="B577" i="1" a="1"/>
  <c r="B592" i="1" a="1"/>
  <c r="B223" i="1" a="1"/>
  <c r="B316" i="1" a="1"/>
  <c r="B445" i="1" a="1"/>
  <c r="B538" i="1" a="1"/>
  <c r="B436" i="1" a="1"/>
  <c r="B564" i="1" a="1"/>
  <c r="B685" i="1" a="1"/>
  <c r="B42" i="1" a="1"/>
  <c r="B565" i="1" a="1"/>
  <c r="B554" i="1" a="1"/>
  <c r="B587" i="1" a="1"/>
  <c r="B580" i="1" a="1"/>
  <c r="B550" i="1" a="1"/>
  <c r="B38" i="1" a="1"/>
  <c r="B431" i="1" a="1"/>
  <c r="B585" i="1" a="1"/>
  <c r="B338" i="1" a="1"/>
  <c r="B552" i="1" a="1"/>
  <c r="B343" i="1" a="1"/>
  <c r="B539" i="1" a="1"/>
  <c r="B567" i="1" a="1"/>
  <c r="B696" i="1" a="1"/>
  <c r="B571" i="1" a="1"/>
  <c r="B548" i="1" a="1"/>
  <c r="B573" i="1" a="1"/>
  <c r="B48" i="1" a="1"/>
  <c r="B569" i="1" a="1"/>
  <c r="B443" i="1" a="1"/>
  <c r="B40" i="1" a="1"/>
  <c r="B35" i="1" a="1"/>
  <c r="B315" i="1" a="1"/>
  <c r="B339" i="1" a="1"/>
  <c r="B558" i="1" a="1"/>
  <c r="B51" i="1" a="1"/>
  <c r="B553" i="1" a="1"/>
  <c r="B46" i="1" a="1"/>
  <c r="B578" i="1" a="1"/>
  <c r="B44" i="1" a="1"/>
  <c r="B589" i="1" a="1"/>
  <c r="B555" i="1" a="1"/>
  <c r="B426" i="1" a="1"/>
  <c r="B579" i="1" a="1"/>
  <c r="B568" i="1" a="1"/>
  <c r="B576" i="1" a="1"/>
  <c r="B47" i="1" a="1"/>
  <c r="B344" i="1" a="1"/>
  <c r="B446" i="1" a="1"/>
  <c r="B559" i="1" a="1"/>
  <c r="B566" i="1" a="1"/>
  <c r="B549" i="1" a="1"/>
  <c r="B427" i="1" a="1"/>
  <c r="B588" i="1" a="1"/>
  <c r="B346" i="1" a="1"/>
  <c r="B56" i="1" a="1"/>
  <c r="B36" i="1" a="1"/>
  <c r="B697" i="1" a="1"/>
  <c r="B432" i="1" a="1"/>
  <c r="B570" i="1" a="1"/>
  <c r="B572" i="1" a="1"/>
  <c r="B557" i="1" a="1"/>
  <c r="B562" i="1" a="1"/>
  <c r="B41" i="1" a="1"/>
  <c r="B695" i="1" a="1"/>
  <c r="B531" i="1" a="1"/>
  <c r="B434" i="1" a="1"/>
  <c r="B584" i="1" a="1"/>
  <c r="B694" i="1" a="1"/>
  <c r="B583" i="1" a="1"/>
  <c r="B560" i="1" a="1"/>
  <c r="B348" i="1" a="1"/>
  <c r="B586" i="1" a="1"/>
  <c r="B430" i="1" a="1"/>
  <c r="B348" i="1" l="1"/>
  <c r="B342" i="1"/>
  <c r="B347" i="1"/>
  <c r="B341" i="1"/>
  <c r="B346" i="1"/>
  <c r="B340" i="1"/>
  <c r="B345" i="1"/>
  <c r="B339" i="1"/>
  <c r="B344" i="1"/>
  <c r="B338" i="1"/>
  <c r="B343" i="1"/>
  <c r="B337" i="1"/>
  <c r="B316" i="1"/>
  <c r="B35" i="1"/>
  <c r="B315" i="1"/>
  <c r="B698" i="1"/>
  <c r="B42" i="1"/>
  <c r="B50" i="1"/>
  <c r="B223" i="1"/>
  <c r="B446" i="1"/>
  <c r="B43" i="1"/>
  <c r="B51" i="1"/>
  <c r="B449" i="1"/>
  <c r="B36" i="1"/>
  <c r="B44" i="1"/>
  <c r="B52" i="1"/>
  <c r="B450" i="1"/>
  <c r="B37" i="1"/>
  <c r="B45" i="1"/>
  <c r="B56" i="1"/>
  <c r="B694" i="1"/>
  <c r="B38" i="1"/>
  <c r="B46" i="1"/>
  <c r="B695" i="1"/>
  <c r="B39" i="1"/>
  <c r="B47" i="1"/>
  <c r="B548" i="1"/>
  <c r="B555" i="1"/>
  <c r="B563" i="1"/>
  <c r="B571" i="1"/>
  <c r="B579" i="1"/>
  <c r="B587" i="1"/>
  <c r="B311" i="1"/>
  <c r="B444" i="1"/>
  <c r="B556" i="1"/>
  <c r="B564" i="1"/>
  <c r="B572" i="1"/>
  <c r="B580" i="1"/>
  <c r="B588" i="1"/>
  <c r="B426" i="1"/>
  <c r="B445" i="1"/>
  <c r="B549" i="1"/>
  <c r="B557" i="1"/>
  <c r="B565" i="1"/>
  <c r="B573" i="1"/>
  <c r="B581" i="1"/>
  <c r="B589" i="1"/>
  <c r="B427" i="1"/>
  <c r="B550" i="1"/>
  <c r="B558" i="1"/>
  <c r="B566" i="1"/>
  <c r="B574" i="1"/>
  <c r="B582" i="1"/>
  <c r="B590" i="1"/>
  <c r="B430" i="1"/>
  <c r="B521" i="1"/>
  <c r="B530" i="1"/>
  <c r="B551" i="1"/>
  <c r="B559" i="1"/>
  <c r="B567" i="1"/>
  <c r="B575" i="1"/>
  <c r="B583" i="1"/>
  <c r="B591" i="1"/>
  <c r="B431" i="1"/>
  <c r="B531" i="1"/>
  <c r="B552" i="1"/>
  <c r="B560" i="1"/>
  <c r="B568" i="1"/>
  <c r="B576" i="1"/>
  <c r="B584" i="1"/>
  <c r="B592" i="1"/>
  <c r="B433" i="1"/>
  <c r="B538" i="1"/>
  <c r="B553" i="1"/>
  <c r="B561" i="1"/>
  <c r="B569" i="1"/>
  <c r="B577" i="1"/>
  <c r="B585" i="1"/>
  <c r="B685" i="1"/>
  <c r="B432" i="1"/>
  <c r="B436" i="1"/>
  <c r="B539" i="1"/>
  <c r="B554" i="1"/>
  <c r="B562" i="1"/>
  <c r="B570" i="1"/>
  <c r="B578" i="1"/>
  <c r="B586" i="1"/>
  <c r="B434" i="1"/>
  <c r="B443" i="1"/>
  <c r="B696" i="1"/>
  <c r="B40" i="1"/>
  <c r="B48" i="1"/>
  <c r="B697" i="1"/>
  <c r="B41" i="1"/>
  <c r="B49" i="1"/>
  <c r="C702" i="1"/>
  <c r="C705" i="1"/>
  <c r="C704" i="1"/>
  <c r="C700" i="1"/>
  <c r="C691" i="1"/>
  <c r="C689" i="1"/>
  <c r="C543" i="1"/>
  <c r="C541" i="1"/>
  <c r="C545" i="1"/>
  <c r="C540" i="1"/>
  <c r="C547" i="1"/>
  <c r="U14" i="18"/>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G497" i="1"/>
  <c r="C497" i="1" s="1" a="1"/>
  <c r="C497" i="1" s="1"/>
  <c r="G496" i="1"/>
  <c r="C496" i="1" s="1" a="1"/>
  <c r="C496" i="1" s="1"/>
  <c r="G495" i="1"/>
  <c r="C495" i="1" s="1" a="1"/>
  <c r="C495" i="1" s="1"/>
  <c r="G494" i="1"/>
  <c r="C494" i="1" s="1" a="1"/>
  <c r="C494" i="1" s="1"/>
  <c r="G493" i="1"/>
  <c r="C493" i="1" s="1" a="1"/>
  <c r="C493" i="1" s="1"/>
  <c r="G492" i="1"/>
  <c r="C492" i="1" s="1" a="1"/>
  <c r="C492" i="1" s="1"/>
  <c r="G491" i="1"/>
  <c r="C491" i="1" s="1" a="1"/>
  <c r="C491" i="1" s="1"/>
  <c r="G489" i="1"/>
  <c r="C489" i="1" s="1" a="1"/>
  <c r="C489" i="1" s="1"/>
  <c r="G488" i="1"/>
  <c r="C488" i="1" s="1" a="1"/>
  <c r="C488" i="1" s="1"/>
  <c r="G487" i="1"/>
  <c r="C487" i="1" s="1" a="1"/>
  <c r="C487" i="1" s="1"/>
  <c r="G486" i="1"/>
  <c r="C486" i="1" s="1" a="1"/>
  <c r="C486" i="1" s="1"/>
  <c r="G485" i="1"/>
  <c r="C485" i="1" s="1" a="1"/>
  <c r="C485" i="1" s="1"/>
  <c r="G484" i="1"/>
  <c r="C484" i="1" s="1" a="1"/>
  <c r="C484" i="1" s="1"/>
  <c r="G483" i="1"/>
  <c r="C483" i="1" s="1" a="1"/>
  <c r="C483" i="1" s="1"/>
  <c r="G482" i="1"/>
  <c r="C482" i="1" s="1" a="1"/>
  <c r="C482" i="1" s="1"/>
  <c r="G490" i="1"/>
  <c r="C490" i="1" s="1" a="1"/>
  <c r="C490" i="1" s="1"/>
  <c r="H482" i="1" a="1"/>
  <c r="H482" i="1" s="1"/>
  <c r="B484" i="1" a="1"/>
  <c r="B700" i="1" a="1"/>
  <c r="B689" i="1" a="1"/>
  <c r="B487" i="1" a="1"/>
  <c r="B491" i="1" a="1"/>
  <c r="B494" i="1" a="1"/>
  <c r="B541" i="1" a="1"/>
  <c r="B486" i="1" a="1"/>
  <c r="B540" i="1" a="1"/>
  <c r="B485" i="1" a="1"/>
  <c r="B545" i="1" a="1"/>
  <c r="B482" i="1" a="1"/>
  <c r="B705" i="1" a="1"/>
  <c r="B483" i="1" a="1"/>
  <c r="B702" i="1" a="1"/>
  <c r="B543" i="1" a="1"/>
  <c r="B497" i="1" a="1"/>
  <c r="B493" i="1" a="1"/>
  <c r="B496" i="1" a="1"/>
  <c r="B492" i="1" a="1"/>
  <c r="B489" i="1" a="1"/>
  <c r="B488" i="1" a="1"/>
  <c r="B704" i="1" a="1"/>
  <c r="B490" i="1" a="1"/>
  <c r="B547" i="1" a="1"/>
  <c r="B691" i="1" a="1"/>
  <c r="B495" i="1" a="1"/>
  <c r="C520" i="1" l="1"/>
  <c r="B484" i="1"/>
  <c r="B490" i="1"/>
  <c r="B489" i="1"/>
  <c r="B541" i="1"/>
  <c r="B482" i="1"/>
  <c r="B543" i="1"/>
  <c r="B689" i="1"/>
  <c r="B491" i="1"/>
  <c r="B493" i="1"/>
  <c r="B691" i="1"/>
  <c r="B483" i="1"/>
  <c r="B494" i="1"/>
  <c r="B700" i="1"/>
  <c r="B485" i="1"/>
  <c r="B495" i="1"/>
  <c r="B547" i="1"/>
  <c r="B704" i="1"/>
  <c r="B486" i="1"/>
  <c r="B496" i="1"/>
  <c r="B540" i="1"/>
  <c r="B705" i="1"/>
  <c r="B492" i="1"/>
  <c r="B487" i="1"/>
  <c r="B488" i="1"/>
  <c r="B497" i="1"/>
  <c r="B545" i="1"/>
  <c r="B702" i="1"/>
  <c r="C522" i="1"/>
  <c r="C501" i="1"/>
  <c r="C500" i="1"/>
  <c r="C499" i="1"/>
  <c r="C498" i="1"/>
  <c r="C519" i="1"/>
  <c r="C518" i="1"/>
  <c r="C517" i="1"/>
  <c r="C516" i="1"/>
  <c r="C515" i="1"/>
  <c r="C514" i="1"/>
  <c r="C513" i="1"/>
  <c r="C511" i="1"/>
  <c r="C510" i="1"/>
  <c r="C509" i="1"/>
  <c r="C508" i="1"/>
  <c r="C507" i="1"/>
  <c r="C506" i="1"/>
  <c r="C505" i="1"/>
  <c r="C504" i="1"/>
  <c r="C503" i="1"/>
  <c r="C502" i="1"/>
  <c r="C481" i="1"/>
  <c r="C480" i="1"/>
  <c r="C479" i="1"/>
  <c r="C478" i="1"/>
  <c r="C477" i="1"/>
  <c r="C476" i="1"/>
  <c r="C475" i="1"/>
  <c r="C474" i="1"/>
  <c r="C473" i="1"/>
  <c r="C472" i="1"/>
  <c r="C471" i="1"/>
  <c r="C470" i="1"/>
  <c r="C467" i="1"/>
  <c r="C466" i="1"/>
  <c r="C465" i="1"/>
  <c r="C459" i="1"/>
  <c r="C458" i="1"/>
  <c r="C457" i="1"/>
  <c r="C456" i="1"/>
  <c r="C455" i="1"/>
  <c r="M4" i="18"/>
  <c r="M3" i="18"/>
  <c r="M2" i="18"/>
  <c r="I5" i="18"/>
  <c r="I4" i="18"/>
  <c r="I3" i="18"/>
  <c r="I2" i="18"/>
  <c r="C440" i="1"/>
  <c r="C454" i="1"/>
  <c r="C453" i="1"/>
  <c r="C452" i="1"/>
  <c r="C451" i="1"/>
  <c r="C448" i="1"/>
  <c r="C447" i="1"/>
  <c r="C442" i="1"/>
  <c r="C439" i="1"/>
  <c r="C437" i="1"/>
  <c r="C435" i="1"/>
  <c r="C429" i="1"/>
  <c r="C428" i="1"/>
  <c r="C425" i="1"/>
  <c r="C424" i="1"/>
  <c r="C423" i="1"/>
  <c r="C422" i="1"/>
  <c r="C421" i="1"/>
  <c r="C420" i="1"/>
  <c r="C418" i="1"/>
  <c r="C336" i="1"/>
  <c r="C335" i="1"/>
  <c r="C334" i="1"/>
  <c r="C333" i="1"/>
  <c r="C332" i="1"/>
  <c r="C331" i="1"/>
  <c r="C330" i="1"/>
  <c r="C329" i="1"/>
  <c r="C328" i="1"/>
  <c r="C327" i="1"/>
  <c r="C326" i="1"/>
  <c r="C325" i="1"/>
  <c r="C324" i="1"/>
  <c r="C323" i="1"/>
  <c r="C322" i="1"/>
  <c r="C321" i="1"/>
  <c r="C320" i="1"/>
  <c r="C319" i="1"/>
  <c r="C318" i="1"/>
  <c r="C317" i="1"/>
  <c r="C314" i="1"/>
  <c r="C312"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0" i="1"/>
  <c r="C249" i="1"/>
  <c r="C248" i="1"/>
  <c r="C246" i="1"/>
  <c r="C245" i="1"/>
  <c r="C244" i="1"/>
  <c r="C242" i="1"/>
  <c r="C241" i="1"/>
  <c r="C240" i="1"/>
  <c r="C238" i="1"/>
  <c r="C237" i="1"/>
  <c r="C236" i="1"/>
  <c r="C235" i="1"/>
  <c r="C234" i="1"/>
  <c r="C233" i="1"/>
  <c r="C232" i="1"/>
  <c r="C231" i="1"/>
  <c r="C230" i="1"/>
  <c r="C229" i="1"/>
  <c r="C228" i="1"/>
  <c r="C227" i="1"/>
  <c r="C226" i="1"/>
  <c r="C225" i="1"/>
  <c r="C224" i="1"/>
  <c r="F7" i="18"/>
  <c r="F6" i="18"/>
  <c r="F5" i="18"/>
  <c r="F4" i="18"/>
  <c r="F3" i="18"/>
  <c r="F2" i="18"/>
  <c r="C222" i="1"/>
  <c r="C221" i="1"/>
  <c r="C220" i="1"/>
  <c r="C219" i="1"/>
  <c r="C218" i="1"/>
  <c r="C217" i="1"/>
  <c r="C216" i="1"/>
  <c r="C215" i="1"/>
  <c r="C214" i="1"/>
  <c r="C213" i="1"/>
  <c r="C212" i="1"/>
  <c r="C211" i="1"/>
  <c r="C210" i="1"/>
  <c r="C209" i="1"/>
  <c r="C208" i="1"/>
  <c r="C207" i="1"/>
  <c r="C206" i="1"/>
  <c r="C205" i="1"/>
  <c r="C204" i="1"/>
  <c r="C203" i="1"/>
  <c r="D96" i="5"/>
  <c r="D97" i="5" s="1"/>
  <c r="G199" i="1" s="1"/>
  <c r="C199" i="1" s="1"/>
  <c r="C193" i="1"/>
  <c r="C192" i="1"/>
  <c r="C191" i="1"/>
  <c r="C189" i="1"/>
  <c r="C188" i="1"/>
  <c r="C187" i="1"/>
  <c r="C185" i="1"/>
  <c r="C184" i="1"/>
  <c r="C183" i="1"/>
  <c r="C181" i="1"/>
  <c r="C180" i="1"/>
  <c r="C179" i="1"/>
  <c r="C177" i="1"/>
  <c r="C176" i="1"/>
  <c r="C175" i="1"/>
  <c r="C173" i="1"/>
  <c r="C172" i="1"/>
  <c r="C171" i="1"/>
  <c r="C161" i="1"/>
  <c r="C160" i="1"/>
  <c r="C159" i="1"/>
  <c r="C157" i="1"/>
  <c r="C156" i="1"/>
  <c r="C155" i="1"/>
  <c r="C153" i="1"/>
  <c r="C152" i="1"/>
  <c r="C151" i="1"/>
  <c r="C149" i="1"/>
  <c r="C148" i="1"/>
  <c r="C147" i="1"/>
  <c r="C145" i="1"/>
  <c r="C144" i="1"/>
  <c r="C143" i="1"/>
  <c r="C141" i="1"/>
  <c r="C140" i="1"/>
  <c r="C139" i="1"/>
  <c r="C138" i="1"/>
  <c r="C137" i="1"/>
  <c r="C136" i="1"/>
  <c r="C135" i="1"/>
  <c r="C134" i="1"/>
  <c r="C133" i="1"/>
  <c r="C132" i="1"/>
  <c r="C131" i="1"/>
  <c r="C130" i="1"/>
  <c r="C128" i="1"/>
  <c r="C127" i="1"/>
  <c r="C126" i="1"/>
  <c r="C125" i="1"/>
  <c r="C124" i="1"/>
  <c r="C123" i="1"/>
  <c r="C122" i="1"/>
  <c r="C121" i="1"/>
  <c r="C120" i="1"/>
  <c r="C118" i="1"/>
  <c r="C117" i="1"/>
  <c r="C116" i="1"/>
  <c r="C115" i="1"/>
  <c r="C114" i="1"/>
  <c r="C113" i="1"/>
  <c r="C112" i="1"/>
  <c r="C111" i="1"/>
  <c r="C110" i="1"/>
  <c r="C108" i="1"/>
  <c r="C107" i="1"/>
  <c r="C106" i="1"/>
  <c r="C105" i="1"/>
  <c r="C104" i="1"/>
  <c r="C103" i="1"/>
  <c r="C102" i="1"/>
  <c r="C101" i="1"/>
  <c r="C100" i="1"/>
  <c r="B27" i="5"/>
  <c r="C92" i="1"/>
  <c r="C91" i="1"/>
  <c r="C90" i="1"/>
  <c r="C89" i="1"/>
  <c r="C88" i="1"/>
  <c r="C87" i="1"/>
  <c r="C86" i="1"/>
  <c r="C85" i="1"/>
  <c r="C84" i="1"/>
  <c r="C83" i="1"/>
  <c r="C82" i="1"/>
  <c r="C81" i="1"/>
  <c r="C80" i="1"/>
  <c r="C79" i="1"/>
  <c r="C78" i="1"/>
  <c r="C77" i="1"/>
  <c r="C76" i="1"/>
  <c r="C75" i="1"/>
  <c r="C64" i="1"/>
  <c r="C63" i="1"/>
  <c r="C62" i="1"/>
  <c r="C61" i="1"/>
  <c r="C60" i="1"/>
  <c r="C59" i="1"/>
  <c r="B2" i="18"/>
  <c r="B3" i="18"/>
  <c r="B4" i="18" a="1"/>
  <c r="B4" i="18" s="1"/>
  <c r="B5" i="18" a="1"/>
  <c r="B5" i="18" s="1"/>
  <c r="B6" i="18" a="1"/>
  <c r="B6" i="18" s="1"/>
  <c r="B7" i="18" a="1"/>
  <c r="B7" i="18" s="1"/>
  <c r="B8" i="18" a="1"/>
  <c r="B8" i="18" s="1"/>
  <c r="B9" i="18" a="1"/>
  <c r="B9" i="18" s="1"/>
  <c r="B12" i="18" a="1"/>
  <c r="B12" i="18" s="1"/>
  <c r="B10" i="18" a="1"/>
  <c r="B10" i="18" s="1"/>
  <c r="C26" i="1"/>
  <c r="C25" i="1"/>
  <c r="C24" i="1"/>
  <c r="C23" i="1"/>
  <c r="C22" i="1"/>
  <c r="C21" i="1"/>
  <c r="C20" i="1"/>
  <c r="C19" i="1"/>
  <c r="C18" i="1"/>
  <c r="C17" i="1"/>
  <c r="C16" i="1"/>
  <c r="C15" i="1"/>
  <c r="C10" i="1"/>
  <c r="C14" i="1"/>
  <c r="C13" i="1"/>
  <c r="C12" i="1"/>
  <c r="C11" i="1"/>
  <c r="C9" i="1"/>
  <c r="C8" i="1"/>
  <c r="C7" i="1"/>
  <c r="C6" i="1"/>
  <c r="C5" i="1"/>
  <c r="C4" i="1"/>
  <c r="C3" i="1"/>
  <c r="B13" i="18" a="1"/>
  <c r="B13" i="18" s="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24"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785" i="1"/>
  <c r="C777" i="1"/>
  <c r="C778" i="1"/>
  <c r="C779" i="1"/>
  <c r="C780" i="1"/>
  <c r="C781" i="1"/>
  <c r="C782" i="1"/>
  <c r="C783" i="1"/>
  <c r="C784" i="1"/>
  <c r="C776" i="1"/>
  <c r="C775" i="1"/>
  <c r="C774" i="1"/>
  <c r="C773" i="1"/>
  <c r="C772" i="1"/>
  <c r="C771" i="1"/>
  <c r="C770" i="1"/>
  <c r="C769" i="1"/>
  <c r="C768" i="1"/>
  <c r="C767" i="1"/>
  <c r="C766" i="1"/>
  <c r="C765" i="1"/>
  <c r="C764" i="1"/>
  <c r="C763" i="1"/>
  <c r="C762" i="1"/>
  <c r="C761" i="1"/>
  <c r="C760" i="1"/>
  <c r="C759" i="1"/>
  <c r="C758" i="1"/>
  <c r="C757" i="1"/>
  <c r="C756" i="1"/>
  <c r="C755" i="1"/>
  <c r="C754" i="1"/>
  <c r="C753" i="1"/>
  <c r="C752" i="1"/>
  <c r="C751" i="1"/>
  <c r="C750" i="1"/>
  <c r="C749" i="1"/>
  <c r="C748" i="1"/>
  <c r="C747" i="1"/>
  <c r="C746" i="1"/>
  <c r="C744" i="1"/>
  <c r="C743" i="1"/>
  <c r="C742" i="1"/>
  <c r="C741" i="1"/>
  <c r="C740" i="1"/>
  <c r="C739" i="1"/>
  <c r="C738" i="1"/>
  <c r="E47" i="13"/>
  <c r="C745" i="1" s="1"/>
  <c r="C47" i="13"/>
  <c r="C737" i="1" s="1"/>
  <c r="C736" i="1"/>
  <c r="C735" i="1"/>
  <c r="C734" i="1"/>
  <c r="C733" i="1"/>
  <c r="C732" i="1"/>
  <c r="C731" i="1"/>
  <c r="C730" i="1"/>
  <c r="C729" i="1"/>
  <c r="C728" i="1"/>
  <c r="C727" i="1"/>
  <c r="C726" i="1"/>
  <c r="C725" i="1"/>
  <c r="C724" i="1"/>
  <c r="C723" i="1"/>
  <c r="C722" i="1"/>
  <c r="C721" i="1"/>
  <c r="C720" i="1"/>
  <c r="C719" i="1"/>
  <c r="C718" i="1"/>
  <c r="C717" i="1"/>
  <c r="C716" i="1"/>
  <c r="C715" i="1"/>
  <c r="C714" i="1"/>
  <c r="C713" i="1"/>
  <c r="C712" i="1"/>
  <c r="C711" i="1"/>
  <c r="C710" i="1"/>
  <c r="C709" i="1"/>
  <c r="C708" i="1"/>
  <c r="C707" i="1"/>
  <c r="C706" i="1"/>
  <c r="C703" i="1"/>
  <c r="C701" i="1"/>
  <c r="C699" i="1"/>
  <c r="C693" i="1"/>
  <c r="C692" i="1"/>
  <c r="C690" i="1"/>
  <c r="C688" i="1"/>
  <c r="C687" i="1"/>
  <c r="C686" i="1"/>
  <c r="C684" i="1"/>
  <c r="C682" i="1"/>
  <c r="C681" i="1"/>
  <c r="C679" i="1"/>
  <c r="C678" i="1"/>
  <c r="C676" i="1"/>
  <c r="C675" i="1"/>
  <c r="C673" i="1"/>
  <c r="C672" i="1"/>
  <c r="C670" i="1"/>
  <c r="C669" i="1"/>
  <c r="C668" i="1"/>
  <c r="C667" i="1"/>
  <c r="C666" i="1"/>
  <c r="C665" i="1"/>
  <c r="C664" i="1"/>
  <c r="C663" i="1"/>
  <c r="C662" i="1"/>
  <c r="C661" i="1"/>
  <c r="C660" i="1"/>
  <c r="C659" i="1"/>
  <c r="C658" i="1"/>
  <c r="C657" i="1"/>
  <c r="C656" i="1"/>
  <c r="C655" i="1"/>
  <c r="C654" i="1"/>
  <c r="C653" i="1"/>
  <c r="C652" i="1"/>
  <c r="C651" i="1"/>
  <c r="C650" i="1"/>
  <c r="C649" i="1"/>
  <c r="C648" i="1"/>
  <c r="C647" i="1"/>
  <c r="C646" i="1"/>
  <c r="C645" i="1"/>
  <c r="C641" i="1"/>
  <c r="C640" i="1"/>
  <c r="C639" i="1"/>
  <c r="C638" i="1"/>
  <c r="C637" i="1"/>
  <c r="C636" i="1"/>
  <c r="C635" i="1"/>
  <c r="C634" i="1"/>
  <c r="C633" i="1"/>
  <c r="C632" i="1"/>
  <c r="C631" i="1"/>
  <c r="C630" i="1"/>
  <c r="C629" i="1"/>
  <c r="C628" i="1"/>
  <c r="C627" i="1"/>
  <c r="C626" i="1"/>
  <c r="C625" i="1"/>
  <c r="C624" i="1"/>
  <c r="C623" i="1"/>
  <c r="C622" i="1"/>
  <c r="C621" i="1"/>
  <c r="C620" i="1"/>
  <c r="C619" i="1"/>
  <c r="C618" i="1"/>
  <c r="C617" i="1"/>
  <c r="C616" i="1"/>
  <c r="C615" i="1"/>
  <c r="C614" i="1"/>
  <c r="C613" i="1"/>
  <c r="C612" i="1"/>
  <c r="C609" i="1"/>
  <c r="C608" i="1"/>
  <c r="C607" i="1"/>
  <c r="D58" i="11"/>
  <c r="C611" i="1" s="1"/>
  <c r="C606" i="1"/>
  <c r="C605" i="1"/>
  <c r="C602" i="1"/>
  <c r="C601" i="1"/>
  <c r="C600" i="1"/>
  <c r="C599" i="1"/>
  <c r="C598" i="1"/>
  <c r="C597" i="1"/>
  <c r="C596" i="1"/>
  <c r="C595" i="1"/>
  <c r="C594" i="1"/>
  <c r="C593" i="1"/>
  <c r="C143" i="11"/>
  <c r="C58" i="11"/>
  <c r="C610" i="1" s="1"/>
  <c r="D54" i="11"/>
  <c r="C604" i="1" s="1"/>
  <c r="C54" i="11"/>
  <c r="C603" i="1" s="1"/>
  <c r="C468" i="1"/>
  <c r="C464" i="1"/>
  <c r="C460" i="1"/>
  <c r="C32" i="1"/>
  <c r="C28" i="1"/>
  <c r="E21" i="6"/>
  <c r="C243" i="1" s="1"/>
  <c r="E22" i="6"/>
  <c r="C247" i="1" s="1"/>
  <c r="E20" i="6"/>
  <c r="C239" i="1" s="1"/>
  <c r="D227" i="6"/>
  <c r="C227" i="6"/>
  <c r="B227" i="6"/>
  <c r="E195" i="6"/>
  <c r="D195" i="6"/>
  <c r="C195" i="6"/>
  <c r="B195" i="6"/>
  <c r="E185" i="6"/>
  <c r="B185" i="6"/>
  <c r="C176" i="6"/>
  <c r="B176" i="6"/>
  <c r="B520" i="1" a="1"/>
  <c r="B520" i="1" l="1"/>
  <c r="C93" i="1"/>
  <c r="C512" i="1"/>
  <c r="C469" i="1"/>
  <c r="C313" i="1"/>
  <c r="C195" i="1"/>
  <c r="C33" i="1"/>
  <c r="E456" i="1"/>
  <c r="E457" i="1" l="1"/>
  <c r="E458" i="1" s="1"/>
  <c r="E459" i="1" s="1"/>
  <c r="E460" i="1" s="1"/>
  <c r="E461" i="1" s="1"/>
  <c r="E462" i="1" s="1"/>
  <c r="E463" i="1" s="1"/>
  <c r="E464" i="1" s="1"/>
  <c r="E465" i="1" s="1"/>
  <c r="E466" i="1" s="1"/>
  <c r="E467" i="1" s="1"/>
  <c r="E468" i="1" s="1"/>
  <c r="E469" i="1" s="1"/>
  <c r="E470" i="1" s="1"/>
  <c r="E471" i="1" s="1"/>
  <c r="E472" i="1" s="1"/>
  <c r="E473" i="1" s="1"/>
  <c r="E474" i="1" s="1"/>
  <c r="E475" i="1" s="1"/>
  <c r="E476" i="1" s="1"/>
  <c r="E477" i="1" s="1"/>
  <c r="E478" i="1" s="1"/>
  <c r="E479" i="1" s="1"/>
  <c r="E481" i="1" s="1"/>
  <c r="B13" i="5"/>
  <c r="C13" i="5"/>
  <c r="C54" i="1" s="1"/>
  <c r="D13" i="5"/>
  <c r="C55" i="1" s="1"/>
  <c r="F13" i="5"/>
  <c r="C57" i="1" s="1"/>
  <c r="G13" i="5"/>
  <c r="C58" i="1" s="1"/>
  <c r="F96" i="5"/>
  <c r="E96" i="5"/>
  <c r="E85" i="5"/>
  <c r="F85" i="5"/>
  <c r="D85" i="5"/>
  <c r="G84" i="5"/>
  <c r="C162" i="1" s="1"/>
  <c r="G83" i="5"/>
  <c r="C158" i="1" s="1"/>
  <c r="G95" i="5"/>
  <c r="C194" i="1" s="1"/>
  <c r="G94" i="5"/>
  <c r="C190" i="1" s="1"/>
  <c r="G53" i="5"/>
  <c r="C129" i="1" s="1"/>
  <c r="G91" i="5"/>
  <c r="C178" i="1" s="1"/>
  <c r="G92" i="5"/>
  <c r="C182" i="1" s="1"/>
  <c r="G93" i="5"/>
  <c r="C186" i="1" s="1"/>
  <c r="G90" i="5"/>
  <c r="C174" i="1" s="1"/>
  <c r="G80" i="5"/>
  <c r="C146" i="1" s="1"/>
  <c r="G81" i="5"/>
  <c r="G82" i="5"/>
  <c r="C154" i="1" s="1"/>
  <c r="G79" i="5"/>
  <c r="C142" i="1" s="1"/>
  <c r="E53" i="5"/>
  <c r="C53" i="5"/>
  <c r="C27" i="5"/>
  <c r="D27" i="5"/>
  <c r="E27" i="5"/>
  <c r="F27" i="5"/>
  <c r="G27" i="5"/>
  <c r="C31" i="1"/>
  <c r="C30" i="1"/>
  <c r="C29" i="1"/>
  <c r="C27" i="1"/>
  <c r="C34" i="1"/>
  <c r="C119" i="1" l="1"/>
  <c r="C95" i="1"/>
  <c r="C98" i="1"/>
  <c r="C97" i="1"/>
  <c r="C109" i="1"/>
  <c r="C94" i="1"/>
  <c r="C53" i="1"/>
  <c r="E32" i="5"/>
  <c r="E16" i="5"/>
  <c r="C71" i="1" s="1"/>
  <c r="E18" i="5"/>
  <c r="E17" i="5"/>
  <c r="C196" i="1"/>
  <c r="E97" i="5"/>
  <c r="G200" i="1" s="1"/>
  <c r="C200" i="1" s="1"/>
  <c r="F97" i="5"/>
  <c r="G201" i="1" s="1"/>
  <c r="C201" i="1" s="1"/>
  <c r="C197" i="1"/>
  <c r="C165" i="1"/>
  <c r="F86" i="5"/>
  <c r="G169" i="1" s="1"/>
  <c r="C169" i="1" s="1"/>
  <c r="E86" i="5"/>
  <c r="G168" i="1" s="1"/>
  <c r="C168" i="1" s="1"/>
  <c r="C164" i="1"/>
  <c r="D86" i="5"/>
  <c r="G167" i="1" s="1"/>
  <c r="C167" i="1" s="1"/>
  <c r="C163" i="1"/>
  <c r="C150" i="1"/>
  <c r="G15" i="5"/>
  <c r="C70" i="1" s="1"/>
  <c r="D15" i="5"/>
  <c r="C67" i="1" s="1"/>
  <c r="E15" i="5"/>
  <c r="C68" i="1" s="1"/>
  <c r="C15" i="5"/>
  <c r="C66" i="1" s="1"/>
  <c r="F15" i="5"/>
  <c r="C69" i="1" s="1"/>
  <c r="B15" i="5"/>
  <c r="G85" i="5"/>
  <c r="C166" i="1" s="1"/>
  <c r="G96" i="5"/>
  <c r="C198" i="1" s="1"/>
  <c r="C99" i="1" l="1"/>
  <c r="C72" i="1"/>
  <c r="C73" i="1"/>
  <c r="E19" i="5"/>
  <c r="G86" i="5"/>
  <c r="G170" i="1" s="1"/>
  <c r="C170" i="1" s="1"/>
  <c r="C65" i="1"/>
  <c r="G97" i="5"/>
  <c r="G202" i="1" s="1"/>
  <c r="C202" i="1" s="1"/>
  <c r="C74" i="1" l="1"/>
  <c r="B5" i="1" l="1" a="1"/>
  <c r="B507" i="1" a="1"/>
  <c r="B227" i="1" a="1"/>
  <c r="B194" i="1" a="1"/>
  <c r="B682" i="1" a="1"/>
  <c r="B29" i="1" a="1"/>
  <c r="B97" i="1" a="1"/>
  <c r="B30" i="1" a="1"/>
  <c r="B292" i="1" a="1"/>
  <c r="B608" i="1" a="1"/>
  <c r="B667" i="1" a="1"/>
  <c r="B218" i="1" a="1"/>
  <c r="B666" i="1" a="1"/>
  <c r="B721" i="1" a="1"/>
  <c r="B105" i="1" a="1"/>
  <c r="B829" i="1" a="1"/>
  <c r="B719" i="1" a="1"/>
  <c r="B10" i="1" a="1"/>
  <c r="B158" i="1" a="1"/>
  <c r="B21" i="1" a="1"/>
  <c r="B515" i="1" a="1"/>
  <c r="B184" i="1" a="1"/>
  <c r="B135" i="1" a="1"/>
  <c r="B738" i="1" a="1"/>
  <c r="B669" i="1" a="1"/>
  <c r="B837" i="1" a="1"/>
  <c r="B188" i="1" a="1"/>
  <c r="B690" i="1" a="1"/>
  <c r="B293" i="1" a="1"/>
  <c r="B505" i="1" a="1"/>
  <c r="B707" i="1" a="1"/>
  <c r="B319" i="1" a="1"/>
  <c r="B823" i="1" a="1"/>
  <c r="B460" i="1" a="1"/>
  <c r="B798" i="1" a="1"/>
  <c r="B765" i="1" a="1"/>
  <c r="B17" i="1" a="1"/>
  <c r="B87" i="1" a="1"/>
  <c r="B628" i="1" a="1"/>
  <c r="B69" i="1" a="1"/>
  <c r="B827" i="1" a="1"/>
  <c r="B741" i="1" a="1"/>
  <c r="B619" i="1" a="1"/>
  <c r="B241" i="1" a="1"/>
  <c r="B502" i="1" a="1"/>
  <c r="B519" i="1" a="1"/>
  <c r="B85" i="1" a="1"/>
  <c r="B215" i="1" a="1"/>
  <c r="B851" i="1" a="1"/>
  <c r="B323" i="1" a="1"/>
  <c r="B202" i="1" a="1"/>
  <c r="B86" i="1" a="1"/>
  <c r="B75" i="1" a="1"/>
  <c r="B859" i="1" a="1"/>
  <c r="B811" i="1" a="1"/>
  <c r="B688" i="1" a="1"/>
  <c r="B715" i="1" a="1"/>
  <c r="B675" i="1" a="1"/>
  <c r="B160" i="1" a="1"/>
  <c r="B806" i="1" a="1"/>
  <c r="B278" i="1" a="1"/>
  <c r="B763" i="1" a="1"/>
  <c r="B295" i="1" a="1"/>
  <c r="B513" i="1" a="1"/>
  <c r="B212" i="1" a="1"/>
  <c r="B176" i="1" a="1"/>
  <c r="B469" i="1" a="1"/>
  <c r="B478" i="1" a="1"/>
  <c r="B423" i="1" a="1"/>
  <c r="B3" i="1" a="1"/>
  <c r="B266" i="1" a="1"/>
  <c r="B703" i="1" a="1"/>
  <c r="B474" i="1" a="1"/>
  <c r="B813" i="1" a="1"/>
  <c r="B231" i="1" a="1"/>
  <c r="B120" i="1" a="1"/>
  <c r="B447" i="1" a="1"/>
  <c r="B732" i="1" a="1"/>
  <c r="B820" i="1" a="1"/>
  <c r="B760" i="1" a="1"/>
  <c r="B648" i="1" a="1"/>
  <c r="B313" i="1" a="1"/>
  <c r="B332" i="1" a="1"/>
  <c r="B500" i="1" a="1"/>
  <c r="B860" i="1" a="1"/>
  <c r="B819" i="1" a="1"/>
  <c r="B844" i="1" a="1"/>
  <c r="B800" i="1" a="1"/>
  <c r="B742" i="1" a="1"/>
  <c r="B834" i="1" a="1"/>
  <c r="B257" i="1" a="1"/>
  <c r="B750" i="1" a="1"/>
  <c r="B471" i="1" a="1"/>
  <c r="B611" i="1" a="1"/>
  <c r="B94" i="1" a="1"/>
  <c r="B516" i="1" a="1"/>
  <c r="B275" i="1" a="1"/>
  <c r="B103" i="1" a="1"/>
  <c r="B784" i="1" a="1"/>
  <c r="B475" i="1" a="1"/>
  <c r="B67" i="1" a="1"/>
  <c r="B437" i="1" a="1"/>
  <c r="B57" i="1" a="1"/>
  <c r="B141" i="1" a="1"/>
  <c r="B603" i="1" a="1"/>
  <c r="B236" i="1" a="1"/>
  <c r="B291" i="1" a="1"/>
  <c r="B774" i="1" a="1"/>
  <c r="B764" i="1" a="1"/>
  <c r="B157" i="1" a="1"/>
  <c r="B514" i="1" a="1"/>
  <c r="B631" i="1" a="1"/>
  <c r="B254" i="1" a="1"/>
  <c r="B322" i="1" a="1"/>
  <c r="B264" i="1" a="1"/>
  <c r="B636" i="1" a="1"/>
  <c r="B104" i="1" a="1"/>
  <c r="B610" i="1" a="1"/>
  <c r="B596" i="1" a="1"/>
  <c r="B751" i="1" a="1"/>
  <c r="B620" i="1" a="1"/>
  <c r="B325" i="1" a="1"/>
  <c r="B99" i="1" a="1"/>
  <c r="B211" i="1" a="1"/>
  <c r="B91" i="1" a="1"/>
  <c r="B849" i="1" a="1"/>
  <c r="B455" i="1" a="1"/>
  <c r="B712" i="1" a="1"/>
  <c r="B477" i="1" a="1"/>
  <c r="B320" i="1" a="1"/>
  <c r="B597" i="1" a="1"/>
  <c r="B83" i="1" a="1"/>
  <c r="B219" i="1" a="1"/>
  <c r="B747" i="1" a="1"/>
  <c r="B472" i="1" a="1"/>
  <c r="B152" i="1" a="1"/>
  <c r="B802" i="1" a="1"/>
  <c r="B734" i="1" a="1"/>
  <c r="B224" i="1" a="1"/>
  <c r="B745" i="1" a="1"/>
  <c r="B710" i="1" a="1"/>
  <c r="B324" i="1" a="1"/>
  <c r="B736" i="1" a="1"/>
  <c r="B510" i="1" a="1"/>
  <c r="B795" i="1" a="1"/>
  <c r="B116" i="1" a="1"/>
  <c r="B210" i="1" a="1"/>
  <c r="B617" i="1" a="1"/>
  <c r="B23" i="1" a="1"/>
  <c r="B615" i="1" a="1"/>
  <c r="B243" i="1" a="1"/>
  <c r="B165" i="1" a="1"/>
  <c r="B473" i="1" a="1"/>
  <c r="B626" i="1" a="1"/>
  <c r="B593" i="1" a="1"/>
  <c r="B752" i="1" a="1"/>
  <c r="B270" i="1" a="1"/>
  <c r="B213" i="1" a="1"/>
  <c r="B201" i="1" a="1"/>
  <c r="B117" i="1" a="1"/>
  <c r="B147" i="1" a="1"/>
  <c r="B65" i="1" a="1"/>
  <c r="B127" i="1" a="1"/>
  <c r="B785" i="1" a="1"/>
  <c r="B272" i="1" a="1"/>
  <c r="B31" i="1" a="1"/>
  <c r="B809" i="1" a="1"/>
  <c r="B192" i="1" a="1"/>
  <c r="B480" i="1" a="1"/>
  <c r="B146" i="1" a="1"/>
  <c r="B678" i="1" a="1"/>
  <c r="B9" i="1" a="1"/>
  <c r="B156" i="1" a="1"/>
  <c r="B144" i="1" a="1"/>
  <c r="B651" i="1" a="1"/>
  <c r="B172" i="1" a="1"/>
  <c r="B600" i="1" a="1"/>
  <c r="B134" i="1" a="1"/>
  <c r="B816" i="1" a="1"/>
  <c r="B668" i="1" a="1"/>
  <c r="B501" i="1" a="1"/>
  <c r="B791" i="1" a="1"/>
  <c r="B82" i="1" a="1"/>
  <c r="B846" i="1" a="1"/>
  <c r="B253" i="1" a="1"/>
  <c r="B240" i="1" a="1"/>
  <c r="B304" i="1" a="1"/>
  <c r="B850" i="1" a="1"/>
  <c r="B70" i="1" a="1"/>
  <c r="B32" i="1" a="1"/>
  <c r="B145" i="1" a="1"/>
  <c r="B124" i="1" a="1"/>
  <c r="B283" i="1" a="1"/>
  <c r="B693" i="1" a="1"/>
  <c r="B831" i="1" a="1"/>
  <c r="B193" i="1" a="1"/>
  <c r="B841" i="1" a="1"/>
  <c r="B725" i="1" a="1"/>
  <c r="B627" i="1" a="1"/>
  <c r="B709" i="1" a="1"/>
  <c r="B650" i="1" a="1"/>
  <c r="B824" i="1" a="1"/>
  <c r="B308" i="1" a="1"/>
  <c r="B701" i="1" a="1"/>
  <c r="B848" i="1" a="1"/>
  <c r="B336" i="1" a="1"/>
  <c r="B61" i="1" a="1"/>
  <c r="B635" i="1" a="1"/>
  <c r="B830" i="1" a="1"/>
  <c r="B852" i="1" a="1"/>
  <c r="B768" i="1" a="1"/>
  <c r="B301" i="1" a="1"/>
  <c r="B198" i="1" a="1"/>
  <c r="B334" i="1" a="1"/>
  <c r="B159" i="1" a="1"/>
  <c r="B794" i="1" a="1"/>
  <c r="B452" i="1" a="1"/>
  <c r="B300" i="1" a="1"/>
  <c r="B720" i="1" a="1"/>
  <c r="B746" i="1" a="1"/>
  <c r="B175" i="1" a="1"/>
  <c r="B810" i="1" a="1"/>
  <c r="B182" i="1" a="1"/>
  <c r="B773" i="1" a="1"/>
  <c r="B242" i="1" a="1"/>
  <c r="B260" i="1" a="1"/>
  <c r="B166" i="1" a="1"/>
  <c r="B20" i="1" a="1"/>
  <c r="B294" i="1" a="1"/>
  <c r="B660" i="1" a="1"/>
  <c r="B726" i="1" a="1"/>
  <c r="B759" i="1" a="1"/>
  <c r="B839" i="1" a="1"/>
  <c r="B154" i="1" a="1"/>
  <c r="B280" i="1" a="1"/>
  <c r="B89" i="1" a="1"/>
  <c r="B208" i="1" a="1"/>
  <c r="B503" i="1" a="1"/>
  <c r="B88" i="1" a="1"/>
  <c r="B7" i="1" a="1"/>
  <c r="B73" i="1" a="1"/>
  <c r="B129" i="1" a="1"/>
  <c r="B59" i="1" a="1"/>
  <c r="B749" i="1" a="1"/>
  <c r="B856" i="1" a="1"/>
  <c r="B95" i="1" a="1"/>
  <c r="B113" i="1" a="1"/>
  <c r="B16" i="1" a="1"/>
  <c r="B835" i="1" a="1"/>
  <c r="B832" i="1" a="1"/>
  <c r="B464" i="1" a="1"/>
  <c r="B130" i="1" a="1"/>
  <c r="B138" i="1" a="1"/>
  <c r="B261" i="1" a="1"/>
  <c r="B679" i="1" a="1"/>
  <c r="B284" i="1" a="1"/>
  <c r="B68" i="1" a="1"/>
  <c r="B149" i="1" a="1"/>
  <c r="B454" i="1" a="1"/>
  <c r="B508" i="1" a="1"/>
  <c r="B265" i="1" a="1"/>
  <c r="B18" i="1" a="1"/>
  <c r="B609" i="1" a="1"/>
  <c r="B756" i="1" a="1"/>
  <c r="B783" i="1" a="1"/>
  <c r="B517" i="1" a="1"/>
  <c r="B111" i="1" a="1"/>
  <c r="B817" i="1" a="1"/>
  <c r="B204" i="1" a="1"/>
  <c r="B498" i="1" a="1"/>
  <c r="B303" i="1" a="1"/>
  <c r="B180" i="1" a="1"/>
  <c r="B245" i="1" a="1"/>
  <c r="B317" i="1" a="1"/>
  <c r="B451" i="1" a="1"/>
  <c r="B601" i="1" a="1"/>
  <c r="B101" i="1" a="1"/>
  <c r="B237" i="1" a="1"/>
  <c r="B614" i="1" a="1"/>
  <c r="B190" i="1" a="1"/>
  <c r="B468" i="1" a="1"/>
  <c r="B602" i="1" a="1"/>
  <c r="B655" i="1" a="1"/>
  <c r="B647" i="1" a="1"/>
  <c r="B767" i="1" a="1"/>
  <c r="B228" i="1" a="1"/>
  <c r="B329" i="1" a="1"/>
  <c r="B722" i="1" a="1"/>
  <c r="B302" i="1" a="1"/>
  <c r="B594" i="1" a="1"/>
  <c r="B143" i="1" a="1"/>
  <c r="B845" i="1" a="1"/>
  <c r="B330" i="1" a="1"/>
  <c r="B234" i="1" a="1"/>
  <c r="B842" i="1" a="1"/>
  <c r="B665" i="1" a="1"/>
  <c r="B28" i="1" a="1"/>
  <c r="B246" i="1" a="1"/>
  <c r="B664" i="1" a="1"/>
  <c r="B777" i="1" a="1"/>
  <c r="B77" i="1" a="1"/>
  <c r="B90" i="1" a="1"/>
  <c r="B775" i="1" a="1"/>
  <c r="B63" i="1" a="1"/>
  <c r="B818" i="1" a="1"/>
  <c r="B164" i="1" a="1"/>
  <c r="B79" i="1" a="1"/>
  <c r="B8" i="1" a="1"/>
  <c r="B731" i="1" a="1"/>
  <c r="B12" i="1" a="1"/>
  <c r="B150" i="1" a="1"/>
  <c r="B93" i="1" a="1"/>
  <c r="B743" i="1" a="1"/>
  <c r="B53" i="1" a="1"/>
  <c r="B606" i="1" a="1"/>
  <c r="B290" i="1" a="1"/>
  <c r="B100" i="1" a="1"/>
  <c r="B132" i="1" a="1"/>
  <c r="B4" i="1" a="1"/>
  <c r="B718" i="1" a="1"/>
  <c r="B653" i="1" a="1"/>
  <c r="B282" i="1" a="1"/>
  <c r="B177" i="1" a="1"/>
  <c r="B238" i="1" a="1"/>
  <c r="B25" i="1" a="1"/>
  <c r="B812" i="1" a="1"/>
  <c r="B458" i="1" a="1"/>
  <c r="B22" i="1" a="1"/>
  <c r="B637" i="1" a="1"/>
  <c r="B788" i="1" a="1"/>
  <c r="B58" i="1" a="1"/>
  <c r="B209" i="1" a="1"/>
  <c r="B826" i="1" a="1"/>
  <c r="B422" i="1" a="1"/>
  <c r="B55" i="1" a="1"/>
  <c r="B821" i="1" a="1"/>
  <c r="B269" i="1" a="1"/>
  <c r="B298" i="1" a="1"/>
  <c r="B142" i="1" a="1"/>
  <c r="B755" i="1" a="1"/>
  <c r="B661" i="1" a="1"/>
  <c r="B801" i="1" a="1"/>
  <c r="B793" i="1" a="1"/>
  <c r="B511" i="1" a="1"/>
  <c r="B318" i="1" a="1"/>
  <c r="B792" i="1" a="1"/>
  <c r="B771" i="1" a="1"/>
  <c r="B216" i="1" a="1"/>
  <c r="B235" i="1" a="1"/>
  <c r="B439" i="1" a="1"/>
  <c r="B312" i="1" a="1"/>
  <c r="B262" i="1" a="1"/>
  <c r="B196" i="1" a="1"/>
  <c r="B779" i="1" a="1"/>
  <c r="B185" i="1" a="1"/>
  <c r="B711" i="1" a="1"/>
  <c r="B163" i="1" a="1"/>
  <c r="B862" i="1" a="1"/>
  <c r="B838" i="1" a="1"/>
  <c r="B457" i="1" a="1"/>
  <c r="B136" i="1" a="1"/>
  <c r="B66" i="1" a="1"/>
  <c r="B761" i="1" a="1"/>
  <c r="B424" i="1" a="1"/>
  <c r="B171" i="1" a="1"/>
  <c r="B708" i="1" a="1"/>
  <c r="B772" i="1" a="1"/>
  <c r="B453" i="1" a="1"/>
  <c r="B825" i="1" a="1"/>
  <c r="B787" i="1" a="1"/>
  <c r="B128" i="1" a="1"/>
  <c r="B314" i="1" a="1"/>
  <c r="B730" i="1" a="1"/>
  <c r="B470" i="1" a="1"/>
  <c r="B72" i="1" a="1"/>
  <c r="B54" i="1" a="1"/>
  <c r="B506" i="1" a="1"/>
  <c r="B604" i="1" a="1"/>
  <c r="B781" i="1" a="1"/>
  <c r="B428" i="1" a="1"/>
  <c r="B857" i="1" a="1"/>
  <c r="B518" i="1" a="1"/>
  <c r="B153" i="1" a="1"/>
  <c r="B633" i="1" a="1"/>
  <c r="B728" i="1" a="1"/>
  <c r="B618" i="1" a="1"/>
  <c r="B607" i="1" a="1"/>
  <c r="B225" i="1" a="1"/>
  <c r="B122" i="1" a="1"/>
  <c r="B762" i="1" a="1"/>
  <c r="B744" i="1" a="1"/>
  <c r="B263" i="1" a="1"/>
  <c r="B27" i="1" a="1"/>
  <c r="B286" i="1" a="1"/>
  <c r="B114" i="1" a="1"/>
  <c r="B131" i="1" a="1"/>
  <c r="B640" i="1" a="1"/>
  <c r="B230" i="1" a="1"/>
  <c r="B435" i="1" a="1"/>
  <c r="B706" i="1" a="1"/>
  <c r="B34" i="1" a="1"/>
  <c r="B425" i="1" a="1"/>
  <c r="B687" i="1" a="1"/>
  <c r="B214" i="1" a="1"/>
  <c r="B652" i="1" a="1"/>
  <c r="B305" i="1" a="1"/>
  <c r="B335" i="1" a="1"/>
  <c r="B623" i="1" a="1"/>
  <c r="B183" i="1" a="1"/>
  <c r="B285" i="1" a="1"/>
  <c r="B84" i="1" a="1"/>
  <c r="B64" i="1" a="1"/>
  <c r="B658" i="1" a="1"/>
  <c r="B605" i="1" a="1"/>
  <c r="B804" i="1" a="1"/>
  <c r="B92" i="1" a="1"/>
  <c r="B714" i="1" a="1"/>
  <c r="B248" i="1" a="1"/>
  <c r="B299" i="1" a="1"/>
  <c r="B662" i="1" a="1"/>
  <c r="B289" i="1" a="1"/>
  <c r="B250" i="1" a="1"/>
  <c r="B217" i="1" a="1"/>
  <c r="B776" i="1" a="1"/>
  <c r="B78" i="1" a="1"/>
  <c r="B796" i="1" a="1"/>
  <c r="B137" i="1" a="1"/>
  <c r="B659" i="1" a="1"/>
  <c r="B229" i="1" a="1"/>
  <c r="B108" i="1" a="1"/>
  <c r="B649" i="1" a="1"/>
  <c r="B421" i="1" a="1"/>
  <c r="B222" i="1" a="1"/>
  <c r="B106" i="1" a="1"/>
  <c r="B753" i="1" a="1"/>
  <c r="B226" i="1" a="1"/>
  <c r="B654" i="1" a="1"/>
  <c r="B699" i="1" a="1"/>
  <c r="B123" i="1" a="1"/>
  <c r="B805" i="1" a="1"/>
  <c r="B13" i="1" a="1"/>
  <c r="B847" i="1" a="1"/>
  <c r="B624" i="1" a="1"/>
  <c r="B639" i="1" a="1"/>
  <c r="B737" i="1" a="1"/>
  <c r="B833" i="1" a="1"/>
  <c r="B684" i="1" a="1"/>
  <c r="B333" i="1" a="1"/>
  <c r="B854" i="1" a="1"/>
  <c r="B115" i="1" a="1"/>
  <c r="B442" i="1" a="1"/>
  <c r="B456" i="1" a="1"/>
  <c r="B187" i="1" a="1"/>
  <c r="B758" i="1" a="1"/>
  <c r="B233" i="1" a="1"/>
  <c r="B613" i="1" a="1"/>
  <c r="B599" i="1" a="1"/>
  <c r="B110" i="1" a="1"/>
  <c r="B170" i="1" a="1"/>
  <c r="B297" i="1" a="1"/>
  <c r="B33" i="1" a="1"/>
  <c r="B331" i="1" a="1"/>
  <c r="B836" i="1" a="1"/>
  <c r="B630" i="1" a="1"/>
  <c r="B629" i="1" a="1"/>
  <c r="B735" i="1" a="1"/>
  <c r="B499" i="1" a="1"/>
  <c r="B782" i="1" a="1"/>
  <c r="B814" i="1" a="1"/>
  <c r="B739" i="1" a="1"/>
  <c r="B466" i="1" a="1"/>
  <c r="B274" i="1" a="1"/>
  <c r="B429" i="1" a="1"/>
  <c r="B256" i="1" a="1"/>
  <c r="B757" i="1" a="1"/>
  <c r="B276" i="1" a="1"/>
  <c r="B168" i="1" a="1"/>
  <c r="B717" i="1" a="1"/>
  <c r="B692" i="1" a="1"/>
  <c r="B778" i="1" a="1"/>
  <c r="B268" i="1" a="1"/>
  <c r="B155" i="1" a="1"/>
  <c r="B247" i="1" a="1"/>
  <c r="B11" i="1" a="1"/>
  <c r="B273" i="1" a="1"/>
  <c r="B727" i="1" a="1"/>
  <c r="B19" i="1" a="1"/>
  <c r="B625" i="1" a="1"/>
  <c r="B855" i="1" a="1"/>
  <c r="B199" i="1" a="1"/>
  <c r="B107" i="1" a="1"/>
  <c r="B162" i="1" a="1"/>
  <c r="B307" i="1" a="1"/>
  <c r="B167" i="1" a="1"/>
  <c r="B239" i="1" a="1"/>
  <c r="B24" i="1" a="1"/>
  <c r="B26" i="1" a="1"/>
  <c r="B125" i="1" a="1"/>
  <c r="B657" i="1" a="1"/>
  <c r="B808" i="1" a="1"/>
  <c r="B729" i="1" a="1"/>
  <c r="B509" i="1" a="1"/>
  <c r="B740" i="1" a="1"/>
  <c r="B121" i="1" a="1"/>
  <c r="B203" i="1" a="1"/>
  <c r="B840" i="1" a="1"/>
  <c r="B279" i="1" a="1"/>
  <c r="B853" i="1" a="1"/>
  <c r="B476" i="1" a="1"/>
  <c r="B769" i="1" a="1"/>
  <c r="B81" i="1" a="1"/>
  <c r="B112" i="1" a="1"/>
  <c r="B656" i="1" a="1"/>
  <c r="B271" i="1" a="1"/>
  <c r="B207" i="1" a="1"/>
  <c r="B676" i="1" a="1"/>
  <c r="B15" i="1" a="1"/>
  <c r="B255" i="1" a="1"/>
  <c r="B259" i="1" a="1"/>
  <c r="B258" i="1" a="1"/>
  <c r="B641" i="1" a="1"/>
  <c r="B98" i="1" a="1"/>
  <c r="B670" i="1" a="1"/>
  <c r="B326" i="1" a="1"/>
  <c r="B178" i="1" a="1"/>
  <c r="B281" i="1" a="1"/>
  <c r="B622" i="1" a="1"/>
  <c r="B189" i="1" a="1"/>
  <c r="B6" i="1" a="1"/>
  <c r="B663" i="1" a="1"/>
  <c r="B76" i="1" a="1"/>
  <c r="B221" i="1" a="1"/>
  <c r="B716" i="1" a="1"/>
  <c r="B724" i="1" a="1"/>
  <c r="B288" i="1" a="1"/>
  <c r="B815" i="1" a="1"/>
  <c r="B754" i="1" a="1"/>
  <c r="B309" i="1" a="1"/>
  <c r="B797" i="1" a="1"/>
  <c r="B173" i="1" a="1"/>
  <c r="B686" i="1" a="1"/>
  <c r="B62" i="1" a="1"/>
  <c r="B310" i="1" a="1"/>
  <c r="B440" i="1" a="1"/>
  <c r="B181" i="1" a="1"/>
  <c r="B612" i="1" a="1"/>
  <c r="B267" i="1" a="1"/>
  <c r="B789" i="1" a="1"/>
  <c r="B766" i="1" a="1"/>
  <c r="B74" i="1" a="1"/>
  <c r="B151" i="1" a="1"/>
  <c r="B296" i="1" a="1"/>
  <c r="B672" i="1" a="1"/>
  <c r="B220" i="1" a="1"/>
  <c r="B595" i="1" a="1"/>
  <c r="B328" i="1" a="1"/>
  <c r="B195" i="1" a="1"/>
  <c r="B843" i="1" a="1"/>
  <c r="B71" i="1" a="1"/>
  <c r="B803" i="1" a="1"/>
  <c r="B770" i="1" a="1"/>
  <c r="B306" i="1" a="1"/>
  <c r="B244" i="1" a="1"/>
  <c r="B481" i="1" a="1"/>
  <c r="B598" i="1" a="1"/>
  <c r="B504" i="1" a="1"/>
  <c r="B191" i="1" a="1"/>
  <c r="B522" i="1" a="1"/>
  <c r="B459" i="1" a="1"/>
  <c r="B713" i="1" a="1"/>
  <c r="B118" i="1" a="1"/>
  <c r="B321" i="1" a="1"/>
  <c r="B418" i="1" a="1"/>
  <c r="B479" i="1" a="1"/>
  <c r="B807" i="1" a="1"/>
  <c r="B645" i="1" a="1"/>
  <c r="B616" i="1" a="1"/>
  <c r="B197" i="1" a="1"/>
  <c r="B467" i="1" a="1"/>
  <c r="B327" i="1" a="1"/>
  <c r="B161" i="1" a="1"/>
  <c r="B748" i="1" a="1"/>
  <c r="B174" i="1" a="1"/>
  <c r="B102" i="1" a="1"/>
  <c r="B169" i="1" a="1"/>
  <c r="B206" i="1" a="1"/>
  <c r="B858" i="1" a="1"/>
  <c r="B448" i="1" a="1"/>
  <c r="B140" i="1" a="1"/>
  <c r="B126" i="1" a="1"/>
  <c r="B119" i="1" a="1"/>
  <c r="B681" i="1" a="1"/>
  <c r="B861" i="1" a="1"/>
  <c r="B277" i="1" a="1"/>
  <c r="B80" i="1" a="1"/>
  <c r="B148" i="1" a="1"/>
  <c r="B634" i="1" a="1"/>
  <c r="B139" i="1" a="1"/>
  <c r="B133" i="1" a="1"/>
  <c r="B723" i="1" a="1"/>
  <c r="B621" i="1" a="1"/>
  <c r="B780" i="1" a="1"/>
  <c r="B14" i="1" a="1"/>
  <c r="B205" i="1" a="1"/>
  <c r="B179" i="1" a="1"/>
  <c r="B646" i="1" a="1"/>
  <c r="B465" i="1" a="1"/>
  <c r="B638" i="1" a="1"/>
  <c r="B799" i="1" a="1"/>
  <c r="B786" i="1" a="1"/>
  <c r="B673" i="1" a="1"/>
  <c r="B200" i="1" a="1"/>
  <c r="B60" i="1" a="1"/>
  <c r="B420" i="1" a="1"/>
  <c r="B109" i="1" a="1"/>
  <c r="B249" i="1" a="1"/>
  <c r="B632" i="1" a="1"/>
  <c r="B186" i="1" a="1"/>
  <c r="B232" i="1" a="1"/>
  <c r="B287" i="1" a="1"/>
  <c r="B790" i="1" a="1"/>
  <c r="B512" i="1" a="1"/>
  <c r="B828" i="1" a="1"/>
  <c r="B733" i="1" a="1"/>
  <c r="B822" i="1" a="1"/>
  <c r="B822" i="1" l="1"/>
  <c r="B733" i="1"/>
  <c r="B828" i="1"/>
  <c r="B512" i="1"/>
  <c r="B790" i="1"/>
  <c r="B287" i="1"/>
  <c r="B232" i="1"/>
  <c r="B186" i="1"/>
  <c r="B632" i="1"/>
  <c r="B249" i="1"/>
  <c r="B109" i="1"/>
  <c r="B420" i="1"/>
  <c r="B60" i="1"/>
  <c r="B200" i="1"/>
  <c r="B673" i="1"/>
  <c r="B786" i="1"/>
  <c r="B799" i="1"/>
  <c r="B638" i="1"/>
  <c r="B465" i="1"/>
  <c r="B646" i="1"/>
  <c r="B179" i="1"/>
  <c r="B205" i="1"/>
  <c r="B14" i="1"/>
  <c r="B780" i="1"/>
  <c r="B621" i="1"/>
  <c r="B723" i="1"/>
  <c r="B133" i="1"/>
  <c r="B139" i="1"/>
  <c r="B634" i="1"/>
  <c r="B148" i="1"/>
  <c r="B80" i="1"/>
  <c r="B277" i="1"/>
  <c r="B861" i="1"/>
  <c r="B681" i="1"/>
  <c r="B119" i="1"/>
  <c r="B126" i="1"/>
  <c r="B140" i="1"/>
  <c r="B448" i="1"/>
  <c r="B858" i="1"/>
  <c r="B206" i="1"/>
  <c r="B169" i="1"/>
  <c r="B102" i="1"/>
  <c r="B174" i="1"/>
  <c r="B748" i="1"/>
  <c r="B161" i="1"/>
  <c r="B327" i="1"/>
  <c r="B467" i="1"/>
  <c r="B197" i="1"/>
  <c r="B616" i="1"/>
  <c r="B645" i="1"/>
  <c r="B807" i="1"/>
  <c r="B479" i="1"/>
  <c r="B418" i="1"/>
  <c r="B321" i="1"/>
  <c r="B118" i="1"/>
  <c r="B713" i="1"/>
  <c r="B459" i="1"/>
  <c r="B522" i="1"/>
  <c r="B191" i="1"/>
  <c r="B504" i="1"/>
  <c r="B598" i="1"/>
  <c r="B481" i="1"/>
  <c r="B244" i="1"/>
  <c r="B306" i="1"/>
  <c r="B770" i="1"/>
  <c r="B803" i="1"/>
  <c r="B71" i="1"/>
  <c r="B843" i="1"/>
  <c r="B195" i="1"/>
  <c r="B328" i="1"/>
  <c r="B595" i="1"/>
  <c r="B220" i="1"/>
  <c r="B672" i="1"/>
  <c r="B296" i="1"/>
  <c r="B151" i="1"/>
  <c r="B74" i="1"/>
  <c r="B766" i="1"/>
  <c r="B789" i="1"/>
  <c r="B267" i="1"/>
  <c r="B612" i="1"/>
  <c r="B181" i="1"/>
  <c r="B440" i="1"/>
  <c r="B310" i="1"/>
  <c r="B62" i="1"/>
  <c r="B686" i="1"/>
  <c r="B173" i="1"/>
  <c r="B797" i="1"/>
  <c r="B309" i="1"/>
  <c r="B754" i="1"/>
  <c r="B815" i="1"/>
  <c r="B288" i="1"/>
  <c r="B724" i="1"/>
  <c r="B716" i="1"/>
  <c r="B221" i="1"/>
  <c r="B76" i="1"/>
  <c r="B663" i="1"/>
  <c r="B6" i="1"/>
  <c r="B189" i="1"/>
  <c r="B622" i="1"/>
  <c r="B281" i="1"/>
  <c r="B178" i="1"/>
  <c r="B326" i="1"/>
  <c r="B670" i="1"/>
  <c r="B98" i="1"/>
  <c r="B641" i="1"/>
  <c r="B258" i="1"/>
  <c r="B259" i="1"/>
  <c r="B255" i="1"/>
  <c r="B15" i="1"/>
  <c r="B676" i="1"/>
  <c r="B207" i="1"/>
  <c r="B271" i="1"/>
  <c r="B656" i="1"/>
  <c r="B112" i="1"/>
  <c r="B81" i="1"/>
  <c r="B769" i="1"/>
  <c r="B476" i="1"/>
  <c r="B853" i="1"/>
  <c r="B279" i="1"/>
  <c r="B840" i="1"/>
  <c r="B203" i="1"/>
  <c r="B121" i="1"/>
  <c r="B740" i="1"/>
  <c r="B509" i="1"/>
  <c r="B729" i="1"/>
  <c r="B808" i="1"/>
  <c r="B657" i="1"/>
  <c r="B125" i="1"/>
  <c r="B26" i="1"/>
  <c r="B24" i="1"/>
  <c r="B239" i="1"/>
  <c r="B167" i="1"/>
  <c r="B307" i="1"/>
  <c r="B162" i="1"/>
  <c r="B107" i="1"/>
  <c r="B199" i="1"/>
  <c r="B855" i="1"/>
  <c r="B625" i="1"/>
  <c r="B19" i="1"/>
  <c r="B727" i="1"/>
  <c r="B273" i="1"/>
  <c r="B11" i="1"/>
  <c r="B247" i="1"/>
  <c r="B155" i="1"/>
  <c r="B268" i="1"/>
  <c r="B778" i="1"/>
  <c r="B692" i="1"/>
  <c r="B717" i="1"/>
  <c r="B168" i="1"/>
  <c r="B276" i="1"/>
  <c r="B757" i="1"/>
  <c r="B256" i="1"/>
  <c r="B429" i="1"/>
  <c r="B274" i="1"/>
  <c r="B466" i="1"/>
  <c r="B739" i="1"/>
  <c r="B814" i="1"/>
  <c r="B782" i="1"/>
  <c r="B499" i="1"/>
  <c r="B735" i="1"/>
  <c r="B629" i="1"/>
  <c r="B630" i="1"/>
  <c r="B836" i="1"/>
  <c r="B331" i="1"/>
  <c r="B33" i="1"/>
  <c r="B297" i="1"/>
  <c r="B170" i="1"/>
  <c r="B110" i="1"/>
  <c r="B599" i="1"/>
  <c r="B613" i="1"/>
  <c r="B233" i="1"/>
  <c r="B758" i="1"/>
  <c r="B187" i="1"/>
  <c r="B456" i="1"/>
  <c r="B442" i="1"/>
  <c r="B115" i="1"/>
  <c r="B854" i="1"/>
  <c r="B333" i="1"/>
  <c r="B684" i="1"/>
  <c r="B833" i="1"/>
  <c r="B737" i="1"/>
  <c r="B639" i="1"/>
  <c r="B624" i="1"/>
  <c r="B847" i="1"/>
  <c r="B13" i="1"/>
  <c r="B805" i="1"/>
  <c r="B123" i="1"/>
  <c r="B699" i="1"/>
  <c r="B654" i="1"/>
  <c r="B226" i="1"/>
  <c r="B753" i="1"/>
  <c r="B106" i="1"/>
  <c r="B222" i="1"/>
  <c r="B421" i="1"/>
  <c r="B649" i="1"/>
  <c r="B108" i="1"/>
  <c r="B229" i="1"/>
  <c r="B659" i="1"/>
  <c r="B137" i="1"/>
  <c r="B796" i="1"/>
  <c r="B78" i="1"/>
  <c r="B776" i="1"/>
  <c r="B217" i="1"/>
  <c r="B250" i="1"/>
  <c r="B289" i="1"/>
  <c r="B662" i="1"/>
  <c r="B299" i="1"/>
  <c r="B248" i="1"/>
  <c r="B714" i="1"/>
  <c r="B92" i="1"/>
  <c r="B804" i="1"/>
  <c r="B605" i="1"/>
  <c r="B658" i="1"/>
  <c r="B64" i="1"/>
  <c r="B84" i="1"/>
  <c r="B285" i="1"/>
  <c r="B183" i="1"/>
  <c r="B623" i="1"/>
  <c r="B335" i="1"/>
  <c r="B305" i="1"/>
  <c r="B652" i="1"/>
  <c r="B214" i="1"/>
  <c r="B687" i="1"/>
  <c r="B425" i="1"/>
  <c r="B34" i="1"/>
  <c r="B706" i="1"/>
  <c r="B435" i="1"/>
  <c r="B230" i="1"/>
  <c r="B640" i="1"/>
  <c r="B131" i="1"/>
  <c r="B114" i="1"/>
  <c r="B286" i="1"/>
  <c r="B27" i="1"/>
  <c r="B263" i="1"/>
  <c r="B744" i="1"/>
  <c r="B762" i="1"/>
  <c r="B122" i="1"/>
  <c r="B225" i="1"/>
  <c r="B607" i="1"/>
  <c r="B618" i="1"/>
  <c r="B728" i="1"/>
  <c r="B633" i="1"/>
  <c r="B153" i="1"/>
  <c r="B518" i="1"/>
  <c r="B857" i="1"/>
  <c r="B428" i="1"/>
  <c r="B781" i="1"/>
  <c r="B604" i="1"/>
  <c r="B506" i="1"/>
  <c r="B54" i="1"/>
  <c r="B72" i="1"/>
  <c r="B470" i="1"/>
  <c r="B730" i="1"/>
  <c r="B314" i="1"/>
  <c r="B128" i="1"/>
  <c r="B787" i="1"/>
  <c r="B825" i="1"/>
  <c r="B453" i="1"/>
  <c r="B772" i="1"/>
  <c r="B708" i="1"/>
  <c r="B171" i="1"/>
  <c r="B424" i="1"/>
  <c r="B761" i="1"/>
  <c r="B66" i="1"/>
  <c r="B136" i="1"/>
  <c r="B457" i="1"/>
  <c r="B838" i="1"/>
  <c r="B862" i="1"/>
  <c r="B163" i="1"/>
  <c r="B711" i="1"/>
  <c r="B185" i="1"/>
  <c r="B779" i="1"/>
  <c r="B196" i="1"/>
  <c r="B262" i="1"/>
  <c r="B312" i="1"/>
  <c r="B439" i="1"/>
  <c r="B235" i="1"/>
  <c r="B216" i="1"/>
  <c r="B771" i="1"/>
  <c r="B792" i="1"/>
  <c r="B318" i="1"/>
  <c r="B511" i="1"/>
  <c r="B793" i="1"/>
  <c r="B801" i="1"/>
  <c r="B661" i="1"/>
  <c r="B755" i="1"/>
  <c r="B142" i="1"/>
  <c r="B298" i="1"/>
  <c r="B269" i="1"/>
  <c r="B821" i="1"/>
  <c r="B55" i="1"/>
  <c r="B422" i="1"/>
  <c r="B826" i="1"/>
  <c r="B209" i="1"/>
  <c r="B58" i="1"/>
  <c r="B788" i="1"/>
  <c r="B637" i="1"/>
  <c r="B22" i="1"/>
  <c r="B458" i="1"/>
  <c r="B812" i="1"/>
  <c r="B25" i="1"/>
  <c r="B238" i="1"/>
  <c r="B177" i="1"/>
  <c r="B282" i="1"/>
  <c r="B653" i="1"/>
  <c r="B718" i="1"/>
  <c r="B4" i="1"/>
  <c r="B132" i="1"/>
  <c r="B100" i="1"/>
  <c r="B290" i="1"/>
  <c r="B606" i="1"/>
  <c r="B53" i="1"/>
  <c r="B743" i="1"/>
  <c r="B93" i="1"/>
  <c r="B150" i="1"/>
  <c r="B12" i="1"/>
  <c r="B731" i="1"/>
  <c r="B8" i="1"/>
  <c r="B79" i="1"/>
  <c r="B164" i="1"/>
  <c r="B818" i="1"/>
  <c r="B63" i="1"/>
  <c r="B775" i="1"/>
  <c r="B90" i="1"/>
  <c r="B77" i="1"/>
  <c r="B777" i="1"/>
  <c r="B664" i="1"/>
  <c r="B246" i="1"/>
  <c r="B28" i="1"/>
  <c r="B665" i="1"/>
  <c r="B842" i="1"/>
  <c r="B234" i="1"/>
  <c r="B330" i="1"/>
  <c r="B845" i="1"/>
  <c r="B143" i="1"/>
  <c r="B594" i="1"/>
  <c r="B302" i="1"/>
  <c r="B722" i="1"/>
  <c r="B329" i="1"/>
  <c r="B228" i="1"/>
  <c r="B767" i="1"/>
  <c r="B647" i="1"/>
  <c r="B655" i="1"/>
  <c r="B602" i="1"/>
  <c r="B468" i="1"/>
  <c r="B190" i="1"/>
  <c r="B614" i="1"/>
  <c r="B237" i="1"/>
  <c r="B101" i="1"/>
  <c r="B601" i="1"/>
  <c r="B451" i="1"/>
  <c r="B317" i="1"/>
  <c r="B245" i="1"/>
  <c r="B180" i="1"/>
  <c r="B303" i="1"/>
  <c r="B498" i="1"/>
  <c r="B204" i="1"/>
  <c r="B817" i="1"/>
  <c r="B111" i="1"/>
  <c r="B517" i="1"/>
  <c r="B783" i="1"/>
  <c r="B756" i="1"/>
  <c r="B609" i="1"/>
  <c r="B18" i="1"/>
  <c r="B265" i="1"/>
  <c r="B508" i="1"/>
  <c r="B454" i="1"/>
  <c r="B149" i="1"/>
  <c r="B68" i="1"/>
  <c r="B284" i="1"/>
  <c r="B679" i="1"/>
  <c r="B261" i="1"/>
  <c r="B138" i="1"/>
  <c r="B130" i="1"/>
  <c r="B464" i="1"/>
  <c r="B832" i="1"/>
  <c r="B835" i="1"/>
  <c r="B16" i="1"/>
  <c r="B113" i="1"/>
  <c r="B95" i="1"/>
  <c r="B856" i="1"/>
  <c r="B749" i="1"/>
  <c r="B59" i="1"/>
  <c r="B129" i="1"/>
  <c r="B73" i="1"/>
  <c r="B7" i="1"/>
  <c r="B88" i="1"/>
  <c r="B503" i="1"/>
  <c r="B208" i="1"/>
  <c r="B89" i="1"/>
  <c r="B280" i="1"/>
  <c r="B154" i="1"/>
  <c r="B839" i="1"/>
  <c r="B759" i="1"/>
  <c r="B726" i="1"/>
  <c r="B660" i="1"/>
  <c r="B294" i="1"/>
  <c r="B20" i="1"/>
  <c r="B166" i="1"/>
  <c r="B260" i="1"/>
  <c r="B242" i="1"/>
  <c r="B773" i="1"/>
  <c r="B182" i="1"/>
  <c r="B810" i="1"/>
  <c r="B175" i="1"/>
  <c r="B746" i="1"/>
  <c r="B720" i="1"/>
  <c r="B300" i="1"/>
  <c r="B452" i="1"/>
  <c r="B794" i="1"/>
  <c r="B159" i="1"/>
  <c r="B334" i="1"/>
  <c r="B198" i="1"/>
  <c r="B301" i="1"/>
  <c r="B768" i="1"/>
  <c r="B852" i="1"/>
  <c r="B830" i="1"/>
  <c r="B635" i="1"/>
  <c r="B61" i="1"/>
  <c r="B336" i="1"/>
  <c r="B848" i="1"/>
  <c r="B701" i="1"/>
  <c r="B308" i="1"/>
  <c r="B824" i="1"/>
  <c r="B650" i="1"/>
  <c r="B709" i="1"/>
  <c r="B627" i="1"/>
  <c r="B725" i="1"/>
  <c r="B841" i="1"/>
  <c r="B193" i="1"/>
  <c r="B831" i="1"/>
  <c r="B693" i="1"/>
  <c r="B283" i="1"/>
  <c r="B124" i="1"/>
  <c r="B145" i="1"/>
  <c r="B32" i="1"/>
  <c r="B70" i="1"/>
  <c r="B850" i="1"/>
  <c r="B304" i="1"/>
  <c r="B240" i="1"/>
  <c r="B253" i="1"/>
  <c r="B846" i="1"/>
  <c r="B82" i="1"/>
  <c r="B791" i="1"/>
  <c r="B501" i="1"/>
  <c r="B668" i="1"/>
  <c r="B816" i="1"/>
  <c r="B134" i="1"/>
  <c r="B600" i="1"/>
  <c r="B172" i="1"/>
  <c r="B651" i="1"/>
  <c r="B144" i="1"/>
  <c r="B156" i="1"/>
  <c r="B9" i="1"/>
  <c r="B678" i="1"/>
  <c r="B146" i="1"/>
  <c r="B480" i="1"/>
  <c r="B192" i="1"/>
  <c r="B809" i="1"/>
  <c r="B31" i="1"/>
  <c r="B272" i="1"/>
  <c r="B785" i="1"/>
  <c r="B127" i="1"/>
  <c r="B65" i="1"/>
  <c r="B147" i="1"/>
  <c r="B117" i="1"/>
  <c r="B201" i="1"/>
  <c r="B213" i="1"/>
  <c r="B270" i="1"/>
  <c r="B752" i="1"/>
  <c r="B593" i="1"/>
  <c r="B626" i="1"/>
  <c r="B473" i="1"/>
  <c r="B165" i="1"/>
  <c r="B243" i="1"/>
  <c r="B615" i="1"/>
  <c r="B23" i="1"/>
  <c r="B617" i="1"/>
  <c r="B210" i="1"/>
  <c r="B116" i="1"/>
  <c r="B795" i="1"/>
  <c r="B510" i="1"/>
  <c r="B736" i="1"/>
  <c r="B324" i="1"/>
  <c r="B710" i="1"/>
  <c r="B745" i="1"/>
  <c r="B224" i="1"/>
  <c r="B734" i="1"/>
  <c r="B802" i="1"/>
  <c r="B152" i="1"/>
  <c r="B472" i="1"/>
  <c r="B747" i="1"/>
  <c r="B219" i="1"/>
  <c r="B83" i="1"/>
  <c r="B597" i="1"/>
  <c r="B320" i="1"/>
  <c r="B477" i="1"/>
  <c r="B712" i="1"/>
  <c r="B455" i="1"/>
  <c r="B849" i="1"/>
  <c r="B91" i="1"/>
  <c r="B211" i="1"/>
  <c r="B99" i="1"/>
  <c r="B325" i="1"/>
  <c r="B620" i="1"/>
  <c r="B751" i="1"/>
  <c r="B596" i="1"/>
  <c r="B610" i="1"/>
  <c r="B104" i="1"/>
  <c r="B636" i="1"/>
  <c r="B264" i="1"/>
  <c r="B322" i="1"/>
  <c r="B254" i="1"/>
  <c r="B631" i="1"/>
  <c r="B514" i="1"/>
  <c r="B157" i="1"/>
  <c r="B764" i="1"/>
  <c r="B774" i="1"/>
  <c r="B291" i="1"/>
  <c r="B236" i="1"/>
  <c r="B603" i="1"/>
  <c r="B141" i="1"/>
  <c r="B57" i="1"/>
  <c r="B437" i="1"/>
  <c r="B67" i="1"/>
  <c r="B475" i="1"/>
  <c r="B784" i="1"/>
  <c r="B103" i="1"/>
  <c r="B275" i="1"/>
  <c r="B516" i="1"/>
  <c r="B94" i="1"/>
  <c r="B611" i="1"/>
  <c r="B471" i="1"/>
  <c r="B750" i="1"/>
  <c r="B257" i="1"/>
  <c r="B834" i="1"/>
  <c r="B742" i="1"/>
  <c r="B800" i="1"/>
  <c r="B844" i="1"/>
  <c r="B819" i="1"/>
  <c r="B860" i="1"/>
  <c r="B500" i="1"/>
  <c r="B332" i="1"/>
  <c r="B313" i="1"/>
  <c r="B648" i="1"/>
  <c r="B760" i="1"/>
  <c r="B820" i="1"/>
  <c r="B732" i="1"/>
  <c r="B447" i="1"/>
  <c r="B120" i="1"/>
  <c r="B231" i="1"/>
  <c r="B813" i="1"/>
  <c r="B474" i="1"/>
  <c r="B703" i="1"/>
  <c r="B266" i="1"/>
  <c r="B3" i="1"/>
  <c r="B423" i="1"/>
  <c r="B478" i="1"/>
  <c r="B469" i="1"/>
  <c r="B176" i="1"/>
  <c r="B212" i="1"/>
  <c r="B513" i="1"/>
  <c r="B295" i="1"/>
  <c r="B763" i="1"/>
  <c r="B278" i="1"/>
  <c r="B806" i="1"/>
  <c r="B160" i="1"/>
  <c r="B675" i="1"/>
  <c r="B715" i="1"/>
  <c r="B688" i="1"/>
  <c r="B811" i="1"/>
  <c r="B859" i="1"/>
  <c r="B75" i="1"/>
  <c r="B86" i="1"/>
  <c r="B202" i="1"/>
  <c r="B323" i="1"/>
  <c r="B851" i="1"/>
  <c r="B215" i="1"/>
  <c r="B85" i="1"/>
  <c r="B519" i="1"/>
  <c r="B502" i="1"/>
  <c r="B241" i="1"/>
  <c r="B619" i="1"/>
  <c r="B741" i="1"/>
  <c r="B827" i="1"/>
  <c r="B69" i="1"/>
  <c r="B628" i="1"/>
  <c r="B87" i="1"/>
  <c r="B17" i="1"/>
  <c r="B765" i="1"/>
  <c r="B798" i="1"/>
  <c r="B460" i="1"/>
  <c r="B823" i="1"/>
  <c r="B319" i="1"/>
  <c r="B707" i="1"/>
  <c r="B505" i="1"/>
  <c r="B293" i="1"/>
  <c r="B690" i="1"/>
  <c r="B188" i="1"/>
  <c r="B837" i="1"/>
  <c r="B669" i="1"/>
  <c r="B738" i="1"/>
  <c r="B135" i="1"/>
  <c r="B184" i="1"/>
  <c r="B515" i="1"/>
  <c r="B21" i="1"/>
  <c r="B158" i="1"/>
  <c r="B10" i="1"/>
  <c r="B719" i="1"/>
  <c r="B829" i="1"/>
  <c r="B105" i="1"/>
  <c r="B721" i="1"/>
  <c r="B666" i="1"/>
  <c r="B218" i="1"/>
  <c r="B667" i="1"/>
  <c r="B608" i="1"/>
  <c r="B292" i="1"/>
  <c r="B30" i="1"/>
  <c r="B97" i="1"/>
  <c r="B29" i="1"/>
  <c r="B682" i="1"/>
  <c r="B194" i="1"/>
  <c r="B227" i="1"/>
  <c r="B507" i="1"/>
  <c r="B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<sst xmlns="http://schemas.openxmlformats.org/spreadsheetml/2006/main" count="4338" uniqueCount="2355">
  <si>
    <t>Survey Map</t>
  </si>
  <si>
    <t>Answer</t>
  </si>
  <si>
    <t>CDS Section</t>
  </si>
  <si>
    <t>CDS Location</t>
  </si>
  <si>
    <t>Response Type</t>
  </si>
  <si>
    <t>Cell Reference</t>
  </si>
  <si>
    <t>Notes</t>
  </si>
  <si>
    <t>KNOWN UAT ISSUE</t>
  </si>
  <si>
    <t>VERSION_NUMBER</t>
  </si>
  <si>
    <t>2024.1.0</t>
  </si>
  <si>
    <t>***</t>
  </si>
  <si>
    <t>Static</t>
  </si>
  <si>
    <t>7_26_188_2718</t>
  </si>
  <si>
    <t>A</t>
  </si>
  <si>
    <t>Text</t>
  </si>
  <si>
    <t>7_26_188_2720</t>
  </si>
  <si>
    <t>7_26_188_2722</t>
  </si>
  <si>
    <t>7_26_188_2723</t>
  </si>
  <si>
    <t>7_26_188_2727</t>
  </si>
  <si>
    <t>7_26_188_2728</t>
  </si>
  <si>
    <t>7_26_188_2729</t>
  </si>
  <si>
    <t>Dropdown</t>
  </si>
  <si>
    <t>7_26_188_2733</t>
  </si>
  <si>
    <t>Special - Zip Code</t>
  </si>
  <si>
    <t>7_26_188_2726</t>
  </si>
  <si>
    <t>7_26_188_2737</t>
  </si>
  <si>
    <t>Phone Number</t>
  </si>
  <si>
    <t>7_26_188_2738</t>
  </si>
  <si>
    <t>7_26_188_2739</t>
  </si>
  <si>
    <t>Email</t>
  </si>
  <si>
    <t>7_26_188_2743</t>
  </si>
  <si>
    <t>7_26_188_2744</t>
  </si>
  <si>
    <t>Link</t>
  </si>
  <si>
    <t>7_26_188_3122</t>
  </si>
  <si>
    <t>Text Area</t>
  </si>
  <si>
    <t>7_26_123_753</t>
  </si>
  <si>
    <t>7_26_123_755</t>
  </si>
  <si>
    <t>7_26_123_756</t>
  </si>
  <si>
    <t>7_26_123_757</t>
  </si>
  <si>
    <t>7_26_123_758</t>
  </si>
  <si>
    <t>7_26_123_752</t>
  </si>
  <si>
    <t>7_26_123_2775</t>
  </si>
  <si>
    <t>7_26_123_761</t>
  </si>
  <si>
    <t>7_26_123_2945</t>
  </si>
  <si>
    <t>7_26_123_2778</t>
  </si>
  <si>
    <t>7_26_123_2779</t>
  </si>
  <si>
    <t>7_27_124_762</t>
  </si>
  <si>
    <t>7_27_124_763</t>
  </si>
  <si>
    <t>7_27_124_766</t>
  </si>
  <si>
    <t>7_27_124_3124</t>
  </si>
  <si>
    <t>7_27_124_768</t>
  </si>
  <si>
    <t>Multi-Select</t>
  </si>
  <si>
    <t>7_27_124_3117</t>
  </si>
  <si>
    <t>Text - Link</t>
  </si>
  <si>
    <t>5_18_66_352</t>
  </si>
  <si>
    <t>B</t>
  </si>
  <si>
    <t>5_18_66_354</t>
  </si>
  <si>
    <t>5_18_66_353</t>
  </si>
  <si>
    <t>5_18_66_355</t>
  </si>
  <si>
    <t>5_18_66_3096</t>
  </si>
  <si>
    <t>5_18_66_3097</t>
  </si>
  <si>
    <t>5_18_67_356</t>
  </si>
  <si>
    <t>5_18_67_358</t>
  </si>
  <si>
    <t>5_18_67_357</t>
  </si>
  <si>
    <t>5_18_67_359</t>
  </si>
  <si>
    <t>5_18_67_3098</t>
  </si>
  <si>
    <t>5_18_67_3099</t>
  </si>
  <si>
    <t>5_18_95_496</t>
  </si>
  <si>
    <t>5_18_95_498</t>
  </si>
  <si>
    <t>5_18_95_497</t>
  </si>
  <si>
    <t>5_18_95_499</t>
  </si>
  <si>
    <t>5_18_95_3100</t>
  </si>
  <si>
    <t>5_18_95_3101</t>
  </si>
  <si>
    <t>5_18_96_500</t>
  </si>
  <si>
    <t>Formula</t>
  </si>
  <si>
    <t>5_18_96_502</t>
  </si>
  <si>
    <t>5_18_96_501</t>
  </si>
  <si>
    <t>5_18_96_503</t>
  </si>
  <si>
    <t>5_18_96_3102</t>
  </si>
  <si>
    <t>5_18_96_3103</t>
  </si>
  <si>
    <t>5_18_98_506</t>
  </si>
  <si>
    <t>5_18_98_508</t>
  </si>
  <si>
    <t>5_18_98_507</t>
  </si>
  <si>
    <t>5_18_98_509</t>
  </si>
  <si>
    <t>5_18_98_3104</t>
  </si>
  <si>
    <t>5_18_98_3105</t>
  </si>
  <si>
    <t>5_18_99_510</t>
  </si>
  <si>
    <t>5_18_99_512</t>
  </si>
  <si>
    <t>5_18_99_511</t>
  </si>
  <si>
    <t>5_18_99_513</t>
  </si>
  <si>
    <t>5_18_99_3106</t>
  </si>
  <si>
    <t>5_18_99_3107</t>
  </si>
  <si>
    <t>5_18_97_3120</t>
  </si>
  <si>
    <t>5_18_97_504</t>
  </si>
  <si>
    <t>5_18_97_505</t>
  </si>
  <si>
    <t>5_18_97_514</t>
  </si>
  <si>
    <t>5_16_86_467</t>
  </si>
  <si>
    <t>5_16_86_469</t>
  </si>
  <si>
    <t>5_16_86_468</t>
  </si>
  <si>
    <t>5_16_86_470</t>
  </si>
  <si>
    <t>5_16_86_3108</t>
  </si>
  <si>
    <t>5_16_86_3109</t>
  </si>
  <si>
    <t>5_16_87_471</t>
  </si>
  <si>
    <t>5_16_87_473</t>
  </si>
  <si>
    <t>5_16_87_472</t>
  </si>
  <si>
    <t>5_16_87_474</t>
  </si>
  <si>
    <t>5_16_87_3110</t>
  </si>
  <si>
    <t>5_16_87_3111</t>
  </si>
  <si>
    <t>5_16_88_475</t>
  </si>
  <si>
    <t>5_16_88_477</t>
  </si>
  <si>
    <t>5_16_88_476</t>
  </si>
  <si>
    <t>5_16_88_478</t>
  </si>
  <si>
    <t>5_16_88_3112</t>
  </si>
  <si>
    <t>5_16_88_3113</t>
  </si>
  <si>
    <t>5_16_89_479</t>
  </si>
  <si>
    <t>5_16_89_481</t>
  </si>
  <si>
    <t>5_16_89_480</t>
  </si>
  <si>
    <t>5_16_89_482</t>
  </si>
  <si>
    <t>5_16_89_3114</t>
  </si>
  <si>
    <t>5_16_89_3115</t>
  </si>
  <si>
    <t>5_16_90_483</t>
  </si>
  <si>
    <t>5_18_68_360</t>
  </si>
  <si>
    <t>5_18_68_361</t>
  </si>
  <si>
    <t>5_18_68_362</t>
  </si>
  <si>
    <t>5_18_68_363</t>
  </si>
  <si>
    <t>5_18_68_364</t>
  </si>
  <si>
    <t>5_18_68_365</t>
  </si>
  <si>
    <t>5_18_68_366</t>
  </si>
  <si>
    <t>5_18_68_367</t>
  </si>
  <si>
    <t>5_18_68_368</t>
  </si>
  <si>
    <t>5_18_68_369</t>
  </si>
  <si>
    <t>5_18_100_515</t>
  </si>
  <si>
    <t>5_18_100_516</t>
  </si>
  <si>
    <t>5_18_100_517</t>
  </si>
  <si>
    <t>5_18_100_518</t>
  </si>
  <si>
    <t>5_18_100_519</t>
  </si>
  <si>
    <t>5_18_100_520</t>
  </si>
  <si>
    <t>5_18_100_521</t>
  </si>
  <si>
    <t>5_18_100_522</t>
  </si>
  <si>
    <t>5_18_100_523</t>
  </si>
  <si>
    <t>5_18_100_524</t>
  </si>
  <si>
    <t>5_18_101_525</t>
  </si>
  <si>
    <t>5_18_101_526</t>
  </si>
  <si>
    <t>5_18_101_527</t>
  </si>
  <si>
    <t>5_18_101_528</t>
  </si>
  <si>
    <t>5_18_101_529</t>
  </si>
  <si>
    <t>5_18_101_530</t>
  </si>
  <si>
    <t>5_18_101_531</t>
  </si>
  <si>
    <t>5_18_101_532</t>
  </si>
  <si>
    <t>5_18_101_533</t>
  </si>
  <si>
    <t>5_18_101_534</t>
  </si>
  <si>
    <t>9_30_128_813</t>
  </si>
  <si>
    <t>9_30_128_814</t>
  </si>
  <si>
    <t>9_30_128_815</t>
  </si>
  <si>
    <t>9_30_128_816</t>
  </si>
  <si>
    <t>9_30_128_817</t>
  </si>
  <si>
    <t>9_30_128_818</t>
  </si>
  <si>
    <t>9_30_128_819</t>
  </si>
  <si>
    <t>9_30_128_820</t>
  </si>
  <si>
    <t>9_30_128_821</t>
  </si>
  <si>
    <t>9_33_133_3011</t>
  </si>
  <si>
    <t xml:space="preserve">Line A - Pell </t>
  </si>
  <si>
    <t>9_33_133_3013</t>
  </si>
  <si>
    <t>Line A - Sub Staff</t>
  </si>
  <si>
    <t>9_33_133_3016</t>
  </si>
  <si>
    <t>Line A - Neither</t>
  </si>
  <si>
    <t>9_33_133_2906</t>
  </si>
  <si>
    <t>Line A - Total</t>
  </si>
  <si>
    <t>9_33_133_3006</t>
  </si>
  <si>
    <t xml:space="preserve">Line B - Pell </t>
  </si>
  <si>
    <t>9_33_133_3007</t>
  </si>
  <si>
    <t>Line B - Sub Staff</t>
  </si>
  <si>
    <t>9_33_133_3010</t>
  </si>
  <si>
    <t>Line B - Neither</t>
  </si>
  <si>
    <t>9_33_133_2909</t>
  </si>
  <si>
    <t>Line B - Total</t>
  </si>
  <si>
    <t>9_33_133_3000</t>
  </si>
  <si>
    <t xml:space="preserve">Line C - Pell </t>
  </si>
  <si>
    <t>9_33_133_3001</t>
  </si>
  <si>
    <t>Line C - Sub Staff</t>
  </si>
  <si>
    <t>9_33_133_3004</t>
  </si>
  <si>
    <t>Line C - Neither</t>
  </si>
  <si>
    <t>9_33_133_2912</t>
  </si>
  <si>
    <t>Line C - Total</t>
  </si>
  <si>
    <t>9_33_133_2993</t>
  </si>
  <si>
    <t xml:space="preserve">Line D - Pell </t>
  </si>
  <si>
    <t>9_33_133_2996</t>
  </si>
  <si>
    <t>Line D - Sub Staff</t>
  </si>
  <si>
    <t>9_33_133_2997</t>
  </si>
  <si>
    <t>Line D - Neither</t>
  </si>
  <si>
    <t>9_33_133_2915</t>
  </si>
  <si>
    <t>Line D - Total</t>
  </si>
  <si>
    <t>9_33_133_2987</t>
  </si>
  <si>
    <t xml:space="preserve">Line E - Pell </t>
  </si>
  <si>
    <t>9_33_133_2990</t>
  </si>
  <si>
    <t>Line E - Sub Staff</t>
  </si>
  <si>
    <t>9_33_133_2991</t>
  </si>
  <si>
    <t>Line E - Neither</t>
  </si>
  <si>
    <t>9_33_133_2918</t>
  </si>
  <si>
    <t>Line E - Total</t>
  </si>
  <si>
    <t>9_33_133_2983</t>
  </si>
  <si>
    <t xml:space="preserve">Line F - Pell </t>
  </si>
  <si>
    <t>9_33_133_2984</t>
  </si>
  <si>
    <t>Line F - Sub Staff</t>
  </si>
  <si>
    <t>9_33_133_2980</t>
  </si>
  <si>
    <t>Line F - Neither</t>
  </si>
  <si>
    <t>9_33_133_2972</t>
  </si>
  <si>
    <t>Line F - Total</t>
  </si>
  <si>
    <t>9_33_133_2976</t>
  </si>
  <si>
    <t xml:space="preserve">Line G - Pell </t>
  </si>
  <si>
    <t>9_33_133_2977</t>
  </si>
  <si>
    <t>Line G - Sub Staff</t>
  </si>
  <si>
    <t>9_33_133_2981</t>
  </si>
  <si>
    <t>Line G - Neither</t>
  </si>
  <si>
    <t>9_33_133_2920</t>
  </si>
  <si>
    <t>Line G - Total</t>
  </si>
  <si>
    <t xml:space="preserve">Line H - Pell </t>
  </si>
  <si>
    <t>Line H - Sub Staff</t>
  </si>
  <si>
    <t>Line H - Neither</t>
  </si>
  <si>
    <t>Line H - Total</t>
  </si>
  <si>
    <t>9_33_133_3012</t>
  </si>
  <si>
    <t>9_33_133_3014</t>
  </si>
  <si>
    <t>9_33_133_3015</t>
  </si>
  <si>
    <t>9_33_133_2907</t>
  </si>
  <si>
    <t>9_33_133_3005</t>
  </si>
  <si>
    <t>9_33_133_3008</t>
  </si>
  <si>
    <t>9_33_133_3009</t>
  </si>
  <si>
    <t>9_33_133_2910</t>
  </si>
  <si>
    <t>9_33_133_2999</t>
  </si>
  <si>
    <t>9_33_133_3002</t>
  </si>
  <si>
    <t>9_33_133_3003</t>
  </si>
  <si>
    <t>9_33_133_2913</t>
  </si>
  <si>
    <t>9_33_133_2994</t>
  </si>
  <si>
    <t>9_33_133_2995</t>
  </si>
  <si>
    <t>9_33_133_2998</t>
  </si>
  <si>
    <t>9_33_133_2916</t>
  </si>
  <si>
    <t>9_33_133_2988</t>
  </si>
  <si>
    <t>9_33_133_2989</t>
  </si>
  <si>
    <t>9_33_133_2992</t>
  </si>
  <si>
    <t>9_33_133_2919</t>
  </si>
  <si>
    <t>9_33_133_2986</t>
  </si>
  <si>
    <t>9_33_133_2985</t>
  </si>
  <si>
    <t>9_33_133_2982</t>
  </si>
  <si>
    <t>9_33_133_2971</t>
  </si>
  <si>
    <t>9_33_133_2975</t>
  </si>
  <si>
    <t>9_33_133_2978</t>
  </si>
  <si>
    <t>9_33_133_2979</t>
  </si>
  <si>
    <t>9_33_133_2921</t>
  </si>
  <si>
    <t>9_33_133_2658</t>
  </si>
  <si>
    <t>9_33_133_2659</t>
  </si>
  <si>
    <t>9_33_133_833</t>
  </si>
  <si>
    <t>9_33_133_2561</t>
  </si>
  <si>
    <t>9_33_197_2923</t>
  </si>
  <si>
    <t>2020 Cohort</t>
  </si>
  <si>
    <t>9_33_197_2927</t>
  </si>
  <si>
    <t>9_33_197_2929</t>
  </si>
  <si>
    <t>9_33_197_2932</t>
  </si>
  <si>
    <t>9_33_197_2935</t>
  </si>
  <si>
    <t>9_33_197_2938</t>
  </si>
  <si>
    <t>9_33_197_2943</t>
  </si>
  <si>
    <t>9_33_197_2946</t>
  </si>
  <si>
    <t>9_33_197_2952</t>
  </si>
  <si>
    <t>9_33_197_2950</t>
  </si>
  <si>
    <t>2019 Cohort</t>
  </si>
  <si>
    <t>9_33_197_2924</t>
  </si>
  <si>
    <t>9_33_197_2926</t>
  </si>
  <si>
    <t>9_33_197_2930</t>
  </si>
  <si>
    <t>9_33_197_2933</t>
  </si>
  <si>
    <t>9_33_197_2936</t>
  </si>
  <si>
    <t>9_33_197_2939</t>
  </si>
  <si>
    <t>9_33_197_2944</t>
  </si>
  <si>
    <t>9_33_197_2947</t>
  </si>
  <si>
    <t>9_33_197_2953</t>
  </si>
  <si>
    <t>9_33_197_2949</t>
  </si>
  <si>
    <t>9_32_131_828</t>
  </si>
  <si>
    <t>Retention Rates</t>
  </si>
  <si>
    <t>5_15_69_370</t>
  </si>
  <si>
    <t>C</t>
  </si>
  <si>
    <t>5_15_69_371</t>
  </si>
  <si>
    <t>5_15_69_3094</t>
  </si>
  <si>
    <t>5_15_70_372</t>
  </si>
  <si>
    <t>5_15_70_373</t>
  </si>
  <si>
    <t>5_15_70_3095</t>
  </si>
  <si>
    <t>5_15_71_3126</t>
  </si>
  <si>
    <t>5_15_71_3127</t>
  </si>
  <si>
    <t>5_15_71_3128</t>
  </si>
  <si>
    <t>5_15_71_374</t>
  </si>
  <si>
    <t>5_15_71_376</t>
  </si>
  <si>
    <t>5_15_71_375</t>
  </si>
  <si>
    <t>5_15_71_377</t>
  </si>
  <si>
    <t>5_15_71_3092</t>
  </si>
  <si>
    <t>5_15_71_3093</t>
  </si>
  <si>
    <t>5_15_72_378</t>
  </si>
  <si>
    <t xml:space="preserve">Applied total </t>
  </si>
  <si>
    <t>5_15_72_3129</t>
  </si>
  <si>
    <t xml:space="preserve">Applied - In State </t>
  </si>
  <si>
    <t>5_15_72_3130</t>
  </si>
  <si>
    <t xml:space="preserve">Applied - Out of State </t>
  </si>
  <si>
    <t>5_15_72_3131</t>
  </si>
  <si>
    <t>Applied - International</t>
  </si>
  <si>
    <t>5_15_72_379</t>
  </si>
  <si>
    <t>Admitted total</t>
  </si>
  <si>
    <t>5_15_72_3132</t>
  </si>
  <si>
    <t>Admitted - In State</t>
  </si>
  <si>
    <t>5_15_72_3133</t>
  </si>
  <si>
    <t>Admitted - Out of State</t>
  </si>
  <si>
    <t>5_15_72_3134</t>
  </si>
  <si>
    <t>Admitted - International</t>
  </si>
  <si>
    <t>5_15_72_380</t>
  </si>
  <si>
    <t>Enrolled total</t>
  </si>
  <si>
    <t>5_15_72_3135</t>
  </si>
  <si>
    <t xml:space="preserve">Enrolled - In State </t>
  </si>
  <si>
    <t>5_15_72_3136</t>
  </si>
  <si>
    <t>Enrolled - Out of State</t>
  </si>
  <si>
    <t>5_15_72_3137</t>
  </si>
  <si>
    <t>Enrolled - International</t>
  </si>
  <si>
    <t>1_2_7_17</t>
  </si>
  <si>
    <t>1_2_7_19</t>
  </si>
  <si>
    <t>1_2_7_20</t>
  </si>
  <si>
    <t>1_2_7_21</t>
  </si>
  <si>
    <t>1_2_7_22</t>
  </si>
  <si>
    <t>1_2_7_23</t>
  </si>
  <si>
    <t>1_2_7_24</t>
  </si>
  <si>
    <t>1_2_183_2681</t>
  </si>
  <si>
    <t>1_2_9_31</t>
  </si>
  <si>
    <t>1_2_10_32</t>
  </si>
  <si>
    <t>1_2_10_33</t>
  </si>
  <si>
    <t>1_2_10_34</t>
  </si>
  <si>
    <t>1_2_10_35</t>
  </si>
  <si>
    <t>1_2_10_36</t>
  </si>
  <si>
    <t>1_2_10_37</t>
  </si>
  <si>
    <t>1_2_10_38</t>
  </si>
  <si>
    <t>1_2_10_39</t>
  </si>
  <si>
    <t>1_2_10_40</t>
  </si>
  <si>
    <t>1_2_10_41</t>
  </si>
  <si>
    <t>1_2_10_42</t>
  </si>
  <si>
    <t>1_2_10_43</t>
  </si>
  <si>
    <t>1_2_10_44</t>
  </si>
  <si>
    <t>1_2_10_45</t>
  </si>
  <si>
    <t>1_2_10_46</t>
  </si>
  <si>
    <t>1_2_10_47</t>
  </si>
  <si>
    <t>1_2_10_48</t>
  </si>
  <si>
    <t>1_2_10_49</t>
  </si>
  <si>
    <t>1_2_10_50</t>
  </si>
  <si>
    <t>1_2_10_51</t>
  </si>
  <si>
    <t>1_2_10_52</t>
  </si>
  <si>
    <t>1_2_10_53</t>
  </si>
  <si>
    <t>1_2_10_2780</t>
  </si>
  <si>
    <t>1_2_10_2781</t>
  </si>
  <si>
    <t>1_2_11_54</t>
  </si>
  <si>
    <t>1_2_11_55</t>
  </si>
  <si>
    <t>1_2_12_57</t>
  </si>
  <si>
    <t>1_2_12_58</t>
  </si>
  <si>
    <t>1_2_12_59</t>
  </si>
  <si>
    <t>1_2_12_60</t>
  </si>
  <si>
    <t>1_2_12_61</t>
  </si>
  <si>
    <t>1_2_12_62</t>
  </si>
  <si>
    <t>1_2_12_63</t>
  </si>
  <si>
    <t>1_2_12_64</t>
  </si>
  <si>
    <t>1_2_12_65</t>
  </si>
  <si>
    <t>1_2_12_66</t>
  </si>
  <si>
    <t>1_2_12_67</t>
  </si>
  <si>
    <t>1_2_12_68</t>
  </si>
  <si>
    <t>1_2_12_69</t>
  </si>
  <si>
    <t>1_2_12_70</t>
  </si>
  <si>
    <t>1_2_12_71</t>
  </si>
  <si>
    <t>1_2_12_73</t>
  </si>
  <si>
    <t>1_2_12_74</t>
  </si>
  <si>
    <t>1_2_12_75</t>
  </si>
  <si>
    <t>1_2_13_76</t>
  </si>
  <si>
    <t>1_2_13_79</t>
  </si>
  <si>
    <t>1_2_13_80</t>
  </si>
  <si>
    <t>1_2_13_81</t>
  </si>
  <si>
    <t>1_2_13_88</t>
  </si>
  <si>
    <t>1_2_13_89</t>
  </si>
  <si>
    <t>Date</t>
  </si>
  <si>
    <t>1_2_13_91</t>
  </si>
  <si>
    <t>1_2_13_92</t>
  </si>
  <si>
    <t>Multiselect</t>
  </si>
  <si>
    <t>1_2_13_93</t>
  </si>
  <si>
    <t>1_135_73_381</t>
  </si>
  <si>
    <t>Percent</t>
  </si>
  <si>
    <t>1_135_73_382</t>
  </si>
  <si>
    <t>1_135_73_2784</t>
  </si>
  <si>
    <t>Numeric</t>
  </si>
  <si>
    <t>1_135_73_2785</t>
  </si>
  <si>
    <t>1_135_74_383</t>
  </si>
  <si>
    <t>1_135_74_384</t>
  </si>
  <si>
    <t>1_135_74_385</t>
  </si>
  <si>
    <t>1_135_74_386</t>
  </si>
  <si>
    <t>1_135_74_387</t>
  </si>
  <si>
    <t>1_135_74_388</t>
  </si>
  <si>
    <t>1_135_74_389</t>
  </si>
  <si>
    <t>1_135_74_390</t>
  </si>
  <si>
    <t>1_135_74_391</t>
  </si>
  <si>
    <t>1_135_74_392</t>
  </si>
  <si>
    <t>1_135_74_393</t>
  </si>
  <si>
    <t>1_135_74_394</t>
  </si>
  <si>
    <t>1_135_74_395</t>
  </si>
  <si>
    <t>1_135_74_396</t>
  </si>
  <si>
    <t>1_135_74_397</t>
  </si>
  <si>
    <t>1_135_74_398</t>
  </si>
  <si>
    <t>1_135_74_399</t>
  </si>
  <si>
    <t>1_135_74_400</t>
  </si>
  <si>
    <t>1_135_75_401</t>
  </si>
  <si>
    <t>1_135_75_402</t>
  </si>
  <si>
    <t>1_135_75_403</t>
  </si>
  <si>
    <t>1_135_75_404</t>
  </si>
  <si>
    <t>1_135_75_405</t>
  </si>
  <si>
    <t>1_135_75_406</t>
  </si>
  <si>
    <t>1_135_75_407</t>
  </si>
  <si>
    <t>1_135_75_408</t>
  </si>
  <si>
    <t>1_135_75_409</t>
  </si>
  <si>
    <t>1_135_75_410</t>
  </si>
  <si>
    <t>1_135_75_411</t>
  </si>
  <si>
    <t>1_135_75_412</t>
  </si>
  <si>
    <t>1_135_76_413</t>
  </si>
  <si>
    <t>1_135_76_414</t>
  </si>
  <si>
    <t>1_135_76_415</t>
  </si>
  <si>
    <t>1_135_76_416</t>
  </si>
  <si>
    <t>1_135_76_417</t>
  </si>
  <si>
    <t>1_135_76_418</t>
  </si>
  <si>
    <t>1_135_77_419</t>
  </si>
  <si>
    <t>1_135_77_424</t>
  </si>
  <si>
    <t>1_135_77_429</t>
  </si>
  <si>
    <t>1_135_77_434</t>
  </si>
  <si>
    <t>1_135_77_439</t>
  </si>
  <si>
    <t>1_135_77_444</t>
  </si>
  <si>
    <t>1_135_78_420</t>
  </si>
  <si>
    <t>1_135_78_425</t>
  </si>
  <si>
    <t>1_135_78_430</t>
  </si>
  <si>
    <t>1_135_78_435</t>
  </si>
  <si>
    <t>1_135_78_440</t>
  </si>
  <si>
    <t>1_135_78_445</t>
  </si>
  <si>
    <t>1_135_79_421</t>
  </si>
  <si>
    <t>1_135_79_426</t>
  </si>
  <si>
    <t>1_135_79_431</t>
  </si>
  <si>
    <t>1_135_79_436</t>
  </si>
  <si>
    <t>1_135_79_441</t>
  </si>
  <si>
    <t>1_135_79_446</t>
  </si>
  <si>
    <t>1_135_80_422</t>
  </si>
  <si>
    <t>1_135_80_427</t>
  </si>
  <si>
    <t>1_135_80_432</t>
  </si>
  <si>
    <t>1_135_80_437</t>
  </si>
  <si>
    <t>1_135_80_442</t>
  </si>
  <si>
    <t>1_135_80_447</t>
  </si>
  <si>
    <t>1_135_81_423</t>
  </si>
  <si>
    <t>1_135_81_428</t>
  </si>
  <si>
    <t>1_135_81_433</t>
  </si>
  <si>
    <t>1_135_81_438</t>
  </si>
  <si>
    <t>1_135_81_443</t>
  </si>
  <si>
    <t>1_135_81_448</t>
  </si>
  <si>
    <t>1_136_83_449</t>
  </si>
  <si>
    <t>Class Rank</t>
  </si>
  <si>
    <t>Upload issues</t>
  </si>
  <si>
    <t>1_136_83_450</t>
  </si>
  <si>
    <t>1_136_83_451</t>
  </si>
  <si>
    <t>1_136_83_452</t>
  </si>
  <si>
    <t>1_136_83_453</t>
  </si>
  <si>
    <t>1_136_83_454</t>
  </si>
  <si>
    <t>1_136_213_3141</t>
  </si>
  <si>
    <t xml:space="preserve">GPA Two New Columns </t>
  </si>
  <si>
    <t>1_136_213_3142</t>
  </si>
  <si>
    <t>1_136_213_3143</t>
  </si>
  <si>
    <t>1_136_213_3144</t>
  </si>
  <si>
    <t>1_136_213_3145</t>
  </si>
  <si>
    <t>1_136_213_3146</t>
  </si>
  <si>
    <t>1_136_213_3147</t>
  </si>
  <si>
    <t>1_136_213_3148</t>
  </si>
  <si>
    <t>1_136_213_3149</t>
  </si>
  <si>
    <t>1_136_214_3150</t>
  </si>
  <si>
    <t>1_136_214_3151</t>
  </si>
  <si>
    <t>1_136_214_3152</t>
  </si>
  <si>
    <t>1_136_214_3153</t>
  </si>
  <si>
    <t>1_136_214_3154</t>
  </si>
  <si>
    <t>1_136_214_3155</t>
  </si>
  <si>
    <t>1_136_214_3156</t>
  </si>
  <si>
    <t>1_136_214_3157</t>
  </si>
  <si>
    <t>1_136_214_3158</t>
  </si>
  <si>
    <t>1_136_84_455</t>
  </si>
  <si>
    <t>1_136_84_456</t>
  </si>
  <si>
    <t>1_136_84_457</t>
  </si>
  <si>
    <t>1_136_84_458</t>
  </si>
  <si>
    <t>1_136_84_459</t>
  </si>
  <si>
    <t>1_136_84_460</t>
  </si>
  <si>
    <t>1_136_84_461</t>
  </si>
  <si>
    <t>1_136_84_462</t>
  </si>
  <si>
    <t>1_136_84_463</t>
  </si>
  <si>
    <t>1_136_212_3139</t>
  </si>
  <si>
    <t>1_136_212_3140</t>
  </si>
  <si>
    <t>1_3_3_3</t>
  </si>
  <si>
    <t>1_3_3_4</t>
  </si>
  <si>
    <t>Currency</t>
  </si>
  <si>
    <t>1_3_3_5</t>
  </si>
  <si>
    <t>1_3_3_6</t>
  </si>
  <si>
    <t>1_3_3_7</t>
  </si>
  <si>
    <t>1_3_4_8</t>
  </si>
  <si>
    <t>1_3_4_9</t>
  </si>
  <si>
    <t>1_3_4_10</t>
  </si>
  <si>
    <t>1_3_4_2788</t>
  </si>
  <si>
    <t>1_3_5_11</t>
  </si>
  <si>
    <t>1_3_5_12</t>
  </si>
  <si>
    <t>1_3_5_13</t>
  </si>
  <si>
    <t>1_3_6_14</t>
  </si>
  <si>
    <t>1_3_6_2689</t>
  </si>
  <si>
    <t>1_3_6_15</t>
  </si>
  <si>
    <t>1_3_6_16</t>
  </si>
  <si>
    <t>1_3_17_103</t>
  </si>
  <si>
    <t>1_3_17_104</t>
  </si>
  <si>
    <t>1_3_17_105</t>
  </si>
  <si>
    <t>1_3_18_106</t>
  </si>
  <si>
    <t>1_3_18_3170</t>
  </si>
  <si>
    <t>1_3_20_108</t>
  </si>
  <si>
    <t>1_3_20_110</t>
  </si>
  <si>
    <t>1_3_20_111</t>
  </si>
  <si>
    <t>1_3_20_112</t>
  </si>
  <si>
    <t>1_3_20_113</t>
  </si>
  <si>
    <t>1_3_20_117</t>
  </si>
  <si>
    <t>1_3_16_2671</t>
  </si>
  <si>
    <t>1_3_16_2673</t>
  </si>
  <si>
    <t>1_3_16_2674</t>
  </si>
  <si>
    <t>1_3_16_2675</t>
  </si>
  <si>
    <t>1_3_16_100</t>
  </si>
  <si>
    <t>5_17_216_2748</t>
  </si>
  <si>
    <t>D</t>
  </si>
  <si>
    <t>5_17_216_3159</t>
  </si>
  <si>
    <t>5_17_91_3160</t>
  </si>
  <si>
    <t>5_17_91_3161</t>
  </si>
  <si>
    <t>5_17_91_3162</t>
  </si>
  <si>
    <t>5_17_91_484</t>
  </si>
  <si>
    <t>5_17_91_3163</t>
  </si>
  <si>
    <t>5_17_91_3164</t>
  </si>
  <si>
    <t>5_17_91_3165</t>
  </si>
  <si>
    <t>5_17_91_485</t>
  </si>
  <si>
    <t>5_17_91_3166</t>
  </si>
  <si>
    <t>5_17_91_3167</t>
  </si>
  <si>
    <t>5_17_91_3168</t>
  </si>
  <si>
    <t>5_17_91_486</t>
  </si>
  <si>
    <t>1_6_40_155</t>
  </si>
  <si>
    <t>MultiSelect</t>
  </si>
  <si>
    <t>1_6_41_156</t>
  </si>
  <si>
    <t>1_6_41_157</t>
  </si>
  <si>
    <t>1_6_41_3169</t>
  </si>
  <si>
    <t>1_6_42_159</t>
  </si>
  <si>
    <t>1_6_42_160</t>
  </si>
  <si>
    <t>1_6_42_161</t>
  </si>
  <si>
    <t>1_6_42_162</t>
  </si>
  <si>
    <t>1_6_42_163</t>
  </si>
  <si>
    <t>1_6_42_164</t>
  </si>
  <si>
    <t>1_6_43_165</t>
  </si>
  <si>
    <t>1_6_44_166</t>
  </si>
  <si>
    <t>1_6_44_2789</t>
  </si>
  <si>
    <t>1_6_45_168</t>
  </si>
  <si>
    <t>1_6_45_2954</t>
  </si>
  <si>
    <t>1_6_45_169</t>
  </si>
  <si>
    <t>1_6_45_2955</t>
  </si>
  <si>
    <t>1_6_45_170</t>
  </si>
  <si>
    <t>1_6_45_2956</t>
  </si>
  <si>
    <t>1_6_45_171</t>
  </si>
  <si>
    <t>1_6_45_2957</t>
  </si>
  <si>
    <t>1_6_45_2961</t>
  </si>
  <si>
    <t>1_6_45_2962</t>
  </si>
  <si>
    <t>1_6_45_2963</t>
  </si>
  <si>
    <t>1_6_45_2964</t>
  </si>
  <si>
    <t>1_6_45_2965</t>
  </si>
  <si>
    <t>1_6_45_2966</t>
  </si>
  <si>
    <t>1_6_45_2967</t>
  </si>
  <si>
    <t>1_6_45_2968</t>
  </si>
  <si>
    <t>Checkbox</t>
  </si>
  <si>
    <t xml:space="preserve">Not Uploading - Confirm QID </t>
  </si>
  <si>
    <t>1_6_45_2958</t>
  </si>
  <si>
    <t>1_6_45_2959</t>
  </si>
  <si>
    <t>1_6_45_2960</t>
  </si>
  <si>
    <t>1_6_32_143</t>
  </si>
  <si>
    <t>1_6_33_144</t>
  </si>
  <si>
    <t>1_6_34_145</t>
  </si>
  <si>
    <t>1_6_35_147</t>
  </si>
  <si>
    <t>1_6_35_148</t>
  </si>
  <si>
    <t>1_6_36_150</t>
  </si>
  <si>
    <t>1_6_36_151</t>
  </si>
  <si>
    <t>1_6_37_152</t>
  </si>
  <si>
    <t>1_6_38_153</t>
  </si>
  <si>
    <t>1_6_39_154</t>
  </si>
  <si>
    <t>1_5_27_130</t>
  </si>
  <si>
    <t>1_5_28_135</t>
  </si>
  <si>
    <t>1_5_28_136</t>
  </si>
  <si>
    <t>1_5_29_138</t>
  </si>
  <si>
    <t>1_5_29_139</t>
  </si>
  <si>
    <t>1_5_30_140</t>
  </si>
  <si>
    <t>1_5_30_141</t>
  </si>
  <si>
    <t>1_5_31_142</t>
  </si>
  <si>
    <t>3_9_48_253</t>
  </si>
  <si>
    <t>E</t>
  </si>
  <si>
    <t>3_9_48_254</t>
  </si>
  <si>
    <t>3_12_59_315</t>
  </si>
  <si>
    <t>3_12_59_316</t>
  </si>
  <si>
    <t>10_34_137_834</t>
  </si>
  <si>
    <t>F</t>
  </si>
  <si>
    <t>10_34_137_835</t>
  </si>
  <si>
    <t>10_34_137_836</t>
  </si>
  <si>
    <t>10_34_137_837</t>
  </si>
  <si>
    <t>10_34_137_838</t>
  </si>
  <si>
    <t>10_34_137_839</t>
  </si>
  <si>
    <t>10_34_137_2793</t>
  </si>
  <si>
    <t>10_34_137_2792</t>
  </si>
  <si>
    <t>10_34_138_840</t>
  </si>
  <si>
    <t>10_34_138_841</t>
  </si>
  <si>
    <t>10_34_138_842</t>
  </si>
  <si>
    <t>10_34_138_843</t>
  </si>
  <si>
    <t>10_34_138_844</t>
  </si>
  <si>
    <t>10_34_138_845</t>
  </si>
  <si>
    <t>10_34_138_2790</t>
  </si>
  <si>
    <t>10_34_138_2791</t>
  </si>
  <si>
    <t>10_36_140_848</t>
  </si>
  <si>
    <t>Activites</t>
  </si>
  <si>
    <t>10_36_141_849</t>
  </si>
  <si>
    <t xml:space="preserve">Army ROTC </t>
  </si>
  <si>
    <t>No Upload</t>
  </si>
  <si>
    <t>DON'T COLLECT FOR BFCP</t>
  </si>
  <si>
    <t xml:space="preserve">Institution </t>
  </si>
  <si>
    <t>not including in UI on purpose</t>
  </si>
  <si>
    <t>10_36_141_850</t>
  </si>
  <si>
    <t xml:space="preserve">Naval ROTC </t>
  </si>
  <si>
    <t xml:space="preserve">Insitution </t>
  </si>
  <si>
    <t>10_36_141_851</t>
  </si>
  <si>
    <t xml:space="preserve">Air Force ROTC </t>
  </si>
  <si>
    <t>10_35_139_846</t>
  </si>
  <si>
    <t>Housing</t>
  </si>
  <si>
    <t>10_35_139_847</t>
  </si>
  <si>
    <t>Other</t>
  </si>
  <si>
    <t>G</t>
  </si>
  <si>
    <t>4_13_60_317</t>
  </si>
  <si>
    <t>4_13_60_318</t>
  </si>
  <si>
    <t>4_13_60_319</t>
  </si>
  <si>
    <t>4_13_60_320</t>
  </si>
  <si>
    <t>4_13_60_321</t>
  </si>
  <si>
    <t>4_13_60_322</t>
  </si>
  <si>
    <t>4_13_60_323</t>
  </si>
  <si>
    <t>4_13_60_324</t>
  </si>
  <si>
    <t>4_13_60_325</t>
  </si>
  <si>
    <t>4_13_60_3019</t>
  </si>
  <si>
    <t>4_13_60_2794</t>
  </si>
  <si>
    <t>4_13_60_2795</t>
  </si>
  <si>
    <t>4_13_60_2796</t>
  </si>
  <si>
    <t>4_13_60_2797</t>
  </si>
  <si>
    <t>4_13_60_2798</t>
  </si>
  <si>
    <t>4_13_60_2799</t>
  </si>
  <si>
    <t>4_13_60_2800</t>
  </si>
  <si>
    <t>4_13_60_2801</t>
  </si>
  <si>
    <t>4_13_60_3018</t>
  </si>
  <si>
    <t>4_13_60_326</t>
  </si>
  <si>
    <t>4_13_60_327</t>
  </si>
  <si>
    <t>4_13_64_3021</t>
  </si>
  <si>
    <t>4_13_64_3022</t>
  </si>
  <si>
    <t>4_13_64_350</t>
  </si>
  <si>
    <t>4_13_64_2803</t>
  </si>
  <si>
    <t>4_13_61_329</t>
  </si>
  <si>
    <t>4_13_61_330</t>
  </si>
  <si>
    <t>4_13_61_331</t>
  </si>
  <si>
    <t>4_13_61_333</t>
  </si>
  <si>
    <t>4_13_61_334</t>
  </si>
  <si>
    <t>4_13_61_335</t>
  </si>
  <si>
    <t>4_13_61_336</t>
  </si>
  <si>
    <t>4_13_61_338</t>
  </si>
  <si>
    <t>4_13_61_339</t>
  </si>
  <si>
    <t>4_13_61_340</t>
  </si>
  <si>
    <t>4_13_61_341</t>
  </si>
  <si>
    <t>4_13_61_342</t>
  </si>
  <si>
    <t>4_13_61_343</t>
  </si>
  <si>
    <t>4_13_62_344</t>
  </si>
  <si>
    <t>4_13_62_345</t>
  </si>
  <si>
    <t>4_13_62_346</t>
  </si>
  <si>
    <t>4_13_62_347</t>
  </si>
  <si>
    <t>4_13_62_348</t>
  </si>
  <si>
    <t>6_19_102_535</t>
  </si>
  <si>
    <t>H</t>
  </si>
  <si>
    <t>6_19_102_536</t>
  </si>
  <si>
    <t>6_19_102_540</t>
  </si>
  <si>
    <t>6_19_102_541</t>
  </si>
  <si>
    <t>6_19_102_543</t>
  </si>
  <si>
    <t>6_19_102_544</t>
  </si>
  <si>
    <t>6_19_102_546</t>
  </si>
  <si>
    <t>6_19_102_547</t>
  </si>
  <si>
    <t>6_19_102_549</t>
  </si>
  <si>
    <t>6_19_102_550</t>
  </si>
  <si>
    <t>6_19_102_552</t>
  </si>
  <si>
    <t>6_19_102_553</t>
  </si>
  <si>
    <t>6_19_102_556</t>
  </si>
  <si>
    <t>6_19_102_557</t>
  </si>
  <si>
    <t>6_19_102_559</t>
  </si>
  <si>
    <t>6_19_102_561</t>
  </si>
  <si>
    <t>6_19_102_562</t>
  </si>
  <si>
    <t>6_19_102_564</t>
  </si>
  <si>
    <t>6_19_102_565</t>
  </si>
  <si>
    <t>6_19_102_567</t>
  </si>
  <si>
    <t>6_19_102_568</t>
  </si>
  <si>
    <t>6_19_102_570</t>
  </si>
  <si>
    <t>6_19_102_571</t>
  </si>
  <si>
    <t>6_19_102_573</t>
  </si>
  <si>
    <t>6_19_102_574</t>
  </si>
  <si>
    <t>6_19_106_624</t>
  </si>
  <si>
    <t>6_19_106_625</t>
  </si>
  <si>
    <t>6_19_106_626</t>
  </si>
  <si>
    <t>6_19_106_628</t>
  </si>
  <si>
    <t>6_19_106_629</t>
  </si>
  <si>
    <t>6_19_106_630</t>
  </si>
  <si>
    <t>6_19_106_632</t>
  </si>
  <si>
    <t>6_19_106_633</t>
  </si>
  <si>
    <t>6_19_106_634</t>
  </si>
  <si>
    <t>6_19_106_636</t>
  </si>
  <si>
    <t>6_19_106_637</t>
  </si>
  <si>
    <t>6_19_106_638</t>
  </si>
  <si>
    <t>6_19_106_640</t>
  </si>
  <si>
    <t>6_19_106_641</t>
  </si>
  <si>
    <t>6_19_106_642</t>
  </si>
  <si>
    <t>6_19_106_644</t>
  </si>
  <si>
    <t>6_19_106_645</t>
  </si>
  <si>
    <t>6_19_106_646</t>
  </si>
  <si>
    <t>6_19_106_648</t>
  </si>
  <si>
    <t>6_19_106_649</t>
  </si>
  <si>
    <t>6_19_106_650</t>
  </si>
  <si>
    <t>6_19_106_652</t>
  </si>
  <si>
    <t>6_19_106_653</t>
  </si>
  <si>
    <t>6_19_106_654</t>
  </si>
  <si>
    <t>6_19_106_656</t>
  </si>
  <si>
    <t>6_19_106_657</t>
  </si>
  <si>
    <t>6_19_106_658</t>
  </si>
  <si>
    <t>6_19_106_660</t>
  </si>
  <si>
    <t>6_19_106_661</t>
  </si>
  <si>
    <t>6_19_106_662</t>
  </si>
  <si>
    <t>6_19_106_664</t>
  </si>
  <si>
    <t>6_19_106_665</t>
  </si>
  <si>
    <t>6_19_106_666</t>
  </si>
  <si>
    <t>6_19_106_668</t>
  </si>
  <si>
    <t>6_19_106_669</t>
  </si>
  <si>
    <t>6_19_106_670</t>
  </si>
  <si>
    <t>6_19_106_672</t>
  </si>
  <si>
    <t>6_19_106_673</t>
  </si>
  <si>
    <t>6_19_106_674</t>
  </si>
  <si>
    <t>6_19_107_676</t>
  </si>
  <si>
    <t>6_19_107_677</t>
  </si>
  <si>
    <t>6_19_107_678</t>
  </si>
  <si>
    <t>6_19_107_680</t>
  </si>
  <si>
    <t>6_19_107_681</t>
  </si>
  <si>
    <t>6_19_107_682</t>
  </si>
  <si>
    <t>6_19_107_684</t>
  </si>
  <si>
    <t>6_19_107_685</t>
  </si>
  <si>
    <t>6_19_107_686</t>
  </si>
  <si>
    <t>6_19_107_688</t>
  </si>
  <si>
    <t>6_19_107_689</t>
  </si>
  <si>
    <t>6_19_107_690</t>
  </si>
  <si>
    <t>6_19_121_745</t>
  </si>
  <si>
    <t>6_19_114_714</t>
  </si>
  <si>
    <t>6_19_114_715</t>
  </si>
  <si>
    <t>6_19_114_716</t>
  </si>
  <si>
    <t>6_19_114_718</t>
  </si>
  <si>
    <t>6_19_114_719</t>
  </si>
  <si>
    <t>6_19_114_720</t>
  </si>
  <si>
    <t>6_19_114_722</t>
  </si>
  <si>
    <t>6_19_114_723</t>
  </si>
  <si>
    <t>6_19_114_724</t>
  </si>
  <si>
    <t>6_19_114_726</t>
  </si>
  <si>
    <t>6_19_114_727</t>
  </si>
  <si>
    <t>6_19_114_728</t>
  </si>
  <si>
    <t>6_19_114_730</t>
  </si>
  <si>
    <t>6_19_114_731</t>
  </si>
  <si>
    <t>6_19_114_732</t>
  </si>
  <si>
    <t>6_20_104_596</t>
  </si>
  <si>
    <t>6_20_104_597</t>
  </si>
  <si>
    <t>6_20_104_598</t>
  </si>
  <si>
    <t>6_20_104_599</t>
  </si>
  <si>
    <t>6_20_104_600</t>
  </si>
  <si>
    <t>6_20_104_601</t>
  </si>
  <si>
    <t>Textbox</t>
  </si>
  <si>
    <t>6_77_108_691</t>
  </si>
  <si>
    <t>6_77_109_693</t>
  </si>
  <si>
    <t>6_77_109_694</t>
  </si>
  <si>
    <t>Testing '0' Formatting Formula</t>
  </si>
  <si>
    <t>6_77_109_695</t>
  </si>
  <si>
    <t>6_77_110_696</t>
  </si>
  <si>
    <t>6_77_110_698</t>
  </si>
  <si>
    <t>6_77_187_2713</t>
  </si>
  <si>
    <t>6_77_187_2714</t>
  </si>
  <si>
    <t>6_77_190_2809</t>
  </si>
  <si>
    <t>6_77_190_2810</t>
  </si>
  <si>
    <t>6_77_190_2813</t>
  </si>
  <si>
    <t>6_77_190_2812</t>
  </si>
  <si>
    <t>6_77_113_711</t>
  </si>
  <si>
    <t>8_28_125_775</t>
  </si>
  <si>
    <t>I</t>
  </si>
  <si>
    <t>8_28_125_776</t>
  </si>
  <si>
    <t>8_28_125_778</t>
  </si>
  <si>
    <t>8_28_125_779</t>
  </si>
  <si>
    <t>8_28_125_781</t>
  </si>
  <si>
    <t>8_28_125_782</t>
  </si>
  <si>
    <t>8_28_125_784</t>
  </si>
  <si>
    <t>8_28_125_785</t>
  </si>
  <si>
    <t>8_28_125_2805</t>
  </si>
  <si>
    <t>8_28_125_2806</t>
  </si>
  <si>
    <t>8_28_125_787</t>
  </si>
  <si>
    <t>8_28_125_788</t>
  </si>
  <si>
    <t>8_28_125_2970</t>
  </si>
  <si>
    <t>8_28_125_2969</t>
  </si>
  <si>
    <t>8_28_125_2818</t>
  </si>
  <si>
    <t>8_28_125_2819</t>
  </si>
  <si>
    <t>8_28_125_2821</t>
  </si>
  <si>
    <t>8_28_125_2822</t>
  </si>
  <si>
    <t>8_28_125_2824</t>
  </si>
  <si>
    <t>8_28_125_2825</t>
  </si>
  <si>
    <t>8_28_126_790</t>
  </si>
  <si>
    <t>8_28_126_793</t>
  </si>
  <si>
    <t>8_28_126_794</t>
  </si>
  <si>
    <t>8_29_127_796</t>
  </si>
  <si>
    <t>8_29_127_797</t>
  </si>
  <si>
    <t>8_29_127_798</t>
  </si>
  <si>
    <t>8_29_127_799</t>
  </si>
  <si>
    <t>8_29_127_800</t>
  </si>
  <si>
    <t>8_29_127_801</t>
  </si>
  <si>
    <t>8_29_127_802</t>
  </si>
  <si>
    <t>8_29_127_803</t>
  </si>
  <si>
    <t>8_29_127_805</t>
  </si>
  <si>
    <t>8_29_127_806</t>
  </si>
  <si>
    <t>8_29_127_807</t>
  </si>
  <si>
    <t>8_29_127_808</t>
  </si>
  <si>
    <t>8_29_127_809</t>
  </si>
  <si>
    <t>8_29_127_810</t>
  </si>
  <si>
    <t>8_29_127_811</t>
  </si>
  <si>
    <t>8_29_127_812</t>
  </si>
  <si>
    <t>2_76_182_2582</t>
  </si>
  <si>
    <t>J</t>
  </si>
  <si>
    <t>2_76_182_2583</t>
  </si>
  <si>
    <t>2_76_182_2584</t>
  </si>
  <si>
    <t>2_76_182_2585</t>
  </si>
  <si>
    <t>2_76_182_2586</t>
  </si>
  <si>
    <t>2_76_182_2587</t>
  </si>
  <si>
    <t>2_76_182_2588</t>
  </si>
  <si>
    <t>2_76_182_2589</t>
  </si>
  <si>
    <t>2_76_182_2590</t>
  </si>
  <si>
    <t>2_76_182_2591</t>
  </si>
  <si>
    <t>2_76_182_2592</t>
  </si>
  <si>
    <t>2_76_182_2593</t>
  </si>
  <si>
    <t>2_76_182_2594</t>
  </si>
  <si>
    <t>2_76_182_2595</t>
  </si>
  <si>
    <t>2_76_182_2596</t>
  </si>
  <si>
    <t>2_76_182_2597</t>
  </si>
  <si>
    <t>2_76_182_2598</t>
  </si>
  <si>
    <t>2_76_182_2599</t>
  </si>
  <si>
    <t>2_76_182_2600</t>
  </si>
  <si>
    <t>2_76_182_2601</t>
  </si>
  <si>
    <t>2_76_182_2602</t>
  </si>
  <si>
    <t>2_76_182_2603</t>
  </si>
  <si>
    <t>2_76_182_2604</t>
  </si>
  <si>
    <t>2_76_182_2605</t>
  </si>
  <si>
    <t>2_76_182_2606</t>
  </si>
  <si>
    <t>2_76_182_2607</t>
  </si>
  <si>
    <t>2_76_182_2608</t>
  </si>
  <si>
    <t>2_76_182_2609</t>
  </si>
  <si>
    <t>2_76_182_2610</t>
  </si>
  <si>
    <t>2_76_182_2611</t>
  </si>
  <si>
    <t>2_76_182_2612</t>
  </si>
  <si>
    <t>2_76_182_2613</t>
  </si>
  <si>
    <t>2_76_182_2614</t>
  </si>
  <si>
    <t>2_76_182_2615</t>
  </si>
  <si>
    <t>2_76_182_2616</t>
  </si>
  <si>
    <t>2_76_182_2617</t>
  </si>
  <si>
    <t>2_76_182_2618</t>
  </si>
  <si>
    <t>2_76_182_2619</t>
  </si>
  <si>
    <t>2_76_182_2620</t>
  </si>
  <si>
    <t>2_7_46_173</t>
  </si>
  <si>
    <t>2_7_46_174</t>
  </si>
  <si>
    <t>2_7_46_175</t>
  </si>
  <si>
    <t>2_7_46_176</t>
  </si>
  <si>
    <t>2_7_46_177</t>
  </si>
  <si>
    <t>2_7_46_178</t>
  </si>
  <si>
    <t>2_7_46_179</t>
  </si>
  <si>
    <t>2_7_46_180</t>
  </si>
  <si>
    <t>2_7_46_181</t>
  </si>
  <si>
    <t>2_7_46_182</t>
  </si>
  <si>
    <t>2_7_46_183</t>
  </si>
  <si>
    <t>2_7_46_184</t>
  </si>
  <si>
    <t>2_7_46_185</t>
  </si>
  <si>
    <t>2_7_46_186</t>
  </si>
  <si>
    <t>2_7_46_187</t>
  </si>
  <si>
    <t>2_7_46_188</t>
  </si>
  <si>
    <t>2_7_46_189</t>
  </si>
  <si>
    <t>2_7_46_190</t>
  </si>
  <si>
    <t>2_7_46_191</t>
  </si>
  <si>
    <t>2_7_46_192</t>
  </si>
  <si>
    <t>2_7_46_193</t>
  </si>
  <si>
    <t>2_7_46_194</t>
  </si>
  <si>
    <t>2_7_46_195</t>
  </si>
  <si>
    <t>2_7_46_196</t>
  </si>
  <si>
    <t>2_7_46_197</t>
  </si>
  <si>
    <t>2_7_46_198</t>
  </si>
  <si>
    <t>2_7_46_199</t>
  </si>
  <si>
    <t>2_7_46_200</t>
  </si>
  <si>
    <t>2_7_46_201</t>
  </si>
  <si>
    <t>2_7_46_202</t>
  </si>
  <si>
    <t>2_7_46_203</t>
  </si>
  <si>
    <t>2_7_46_204</t>
  </si>
  <si>
    <t>2_7_46_205</t>
  </si>
  <si>
    <t>2_7_46_206</t>
  </si>
  <si>
    <t>2_7_46_207</t>
  </si>
  <si>
    <t>2_7_46_208</t>
  </si>
  <si>
    <t>2_7_46_209</t>
  </si>
  <si>
    <t>2_7_46_210</t>
  </si>
  <si>
    <t>2_7_46_211</t>
  </si>
  <si>
    <t>2_8_47_213</t>
  </si>
  <si>
    <t>2_8_47_214</t>
  </si>
  <si>
    <t>2_8_47_215</t>
  </si>
  <si>
    <t>2_8_47_216</t>
  </si>
  <si>
    <t>2_8_47_217</t>
  </si>
  <si>
    <t>2_8_47_218</t>
  </si>
  <si>
    <t>2_8_47_219</t>
  </si>
  <si>
    <t>2_8_47_220</t>
  </si>
  <si>
    <t>2_8_47_221</t>
  </si>
  <si>
    <t>2_8_47_222</t>
  </si>
  <si>
    <t>2_8_47_223</t>
  </si>
  <si>
    <t>2_8_47_224</t>
  </si>
  <si>
    <t>2_8_47_225</t>
  </si>
  <si>
    <t>2_8_47_226</t>
  </si>
  <si>
    <t>2_8_47_227</t>
  </si>
  <si>
    <t>2_8_47_228</t>
  </si>
  <si>
    <t>2_8_47_229</t>
  </si>
  <si>
    <t>2_8_47_230</t>
  </si>
  <si>
    <t>2_8_47_231</t>
  </si>
  <si>
    <t>2_8_47_232</t>
  </si>
  <si>
    <t>2_8_47_233</t>
  </si>
  <si>
    <t>2_8_47_234</t>
  </si>
  <si>
    <t>2_8_47_235</t>
  </si>
  <si>
    <t>2_8_47_236</t>
  </si>
  <si>
    <t>2_8_47_237</t>
  </si>
  <si>
    <t>2_8_47_238</t>
  </si>
  <si>
    <t>2_8_47_239</t>
  </si>
  <si>
    <t>2_8_47_240</t>
  </si>
  <si>
    <t>2_8_47_241</t>
  </si>
  <si>
    <t>2_8_47_242</t>
  </si>
  <si>
    <t>2_8_47_243</t>
  </si>
  <si>
    <t>2_8_47_244</t>
  </si>
  <si>
    <t>2_8_47_245</t>
  </si>
  <si>
    <t>2_8_47_246</t>
  </si>
  <si>
    <t>2_8_47_247</t>
  </si>
  <si>
    <t>2_8_47_248</t>
  </si>
  <si>
    <t>2_8_47_249</t>
  </si>
  <si>
    <t>2_8_47_250</t>
  </si>
  <si>
    <t>2_8_47_251</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</si>
  <si>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</si>
  <si>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</si>
  <si>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</si>
  <si>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</si>
  <si>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</si>
  <si>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</si>
  <si>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</si>
  <si>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</si>
  <si>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</si>
  <si>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</si>
  <si>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</si>
  <si>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</si>
  <si>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</si>
  <si>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</si>
  <si>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</si>
  <si>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</si>
  <si>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</si>
  <si>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</si>
  <si>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</si>
  <si>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</si>
  <si>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</si>
  <si>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</si>
  <si>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</si>
  <si>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</si>
  <si>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</si>
  <si>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</si>
  <si>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</si>
  <si>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</si>
  <si>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</si>
  <si>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</si>
  <si>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</si>
  <si>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</si>
  <si>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</si>
  <si>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</si>
  <si>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</si>
  <si>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</si>
  <si>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</si>
  <si>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</si>
  <si>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</si>
  <si>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</si>
  <si>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</si>
  <si>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</si>
  <si>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</si>
  <si>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</si>
  <si>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</si>
  <si>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</si>
  <si>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</si>
  <si>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</si>
  <si>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</si>
  <si>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</si>
  <si>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</si>
  <si>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</si>
  <si>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</si>
  <si>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</si>
  <si>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</si>
  <si>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</si>
  <si>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</si>
  <si>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</si>
  <si>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</si>
  <si>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</si>
  <si>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</si>
  <si>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</si>
  <si>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</si>
  <si>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</si>
  <si>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</si>
  <si>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</si>
  <si>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</si>
  <si>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</si>
  <si>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</si>
  <si>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</si>
  <si>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</si>
  <si>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</si>
  <si>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</si>
  <si>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</si>
  <si>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</si>
  <si>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</si>
  <si>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</si>
  <si>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</si>
  <si>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</si>
  <si>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</si>
  <si>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</si>
  <si>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</si>
  <si>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</si>
  <si>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</si>
  <si>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</si>
  <si>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</si>
  <si>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</si>
  <si>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</si>
  <si>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</si>
  <si>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</si>
  <si>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</si>
  <si>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</si>
  <si>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</si>
  <si>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</si>
  <si>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</si>
  <si>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</si>
  <si>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</si>
  <si>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</si>
  <si>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</si>
  <si>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</si>
  <si>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</si>
  <si>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</si>
  <si>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</si>
  <si>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</si>
  <si>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</si>
  <si>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</si>
  <si>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</si>
  <si>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</si>
  <si>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</si>
  <si>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</si>
  <si>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</si>
  <si>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</si>
  <si>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</si>
  <si>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</si>
  <si>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</si>
  <si>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</si>
  <si>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</si>
  <si>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</si>
  <si>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</si>
  <si>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</si>
  <si>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</si>
  <si>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</si>
  <si>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</si>
  <si>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</si>
  <si>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</si>
  <si>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</si>
  <si>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</si>
  <si>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</si>
  <si>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</si>
  <si>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</si>
  <si>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</si>
  <si>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</si>
  <si>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</si>
  <si>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</si>
  <si>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</si>
  <si>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</si>
  <si>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</si>
  <si>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</si>
  <si>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</si>
  <si>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</si>
  <si>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</si>
  <si>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</si>
  <si>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</si>
  <si>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</si>
  <si>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</si>
  <si>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</si>
  <si>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</si>
  <si>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</si>
  <si>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</si>
  <si>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</si>
  <si>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</si>
  <si>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</si>
  <si>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</si>
  <si>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</si>
  <si>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</si>
  <si>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</si>
  <si>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</si>
  <si>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</si>
  <si>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</si>
  <si>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</si>
  <si>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</si>
  <si>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</si>
  <si>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</si>
  <si>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</si>
  <si>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</si>
  <si>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</si>
  <si>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</si>
  <si>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</si>
  <si>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</si>
  <si>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</si>
  <si>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</si>
  <si>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</si>
  <si>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</si>
  <si>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</si>
  <si>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</si>
  <si>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</si>
  <si>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</si>
  <si>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</si>
  <si>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</si>
  <si>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</si>
  <si>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</si>
  <si>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</si>
  <si>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</si>
  <si>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</si>
  <si>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</si>
  <si>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</si>
  <si>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</si>
  <si>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</si>
  <si>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</si>
  <si>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</si>
  <si>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</si>
  <si>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</si>
  <si>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</si>
  <si>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</si>
  <si>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</si>
  <si>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</si>
  <si>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</si>
  <si>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</si>
  <si>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</si>
  <si>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</si>
  <si>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</si>
  <si>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</si>
  <si>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</si>
  <si>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</si>
  <si>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</si>
  <si>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</si>
  <si>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</si>
  <si>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</si>
  <si>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</si>
  <si>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</si>
  <si>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</si>
  <si>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</si>
  <si>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</si>
  <si>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</si>
  <si>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</si>
  <si>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</si>
  <si>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</si>
  <si>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</si>
  <si>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</si>
  <si>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</si>
  <si>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</si>
  <si>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</si>
  <si>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</si>
  <si>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</si>
  <si>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</si>
  <si>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</si>
  <si>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</si>
  <si>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</si>
  <si>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</si>
  <si>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</si>
  <si>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</si>
  <si>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</si>
  <si>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</si>
  <si>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</si>
  <si>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</si>
  <si>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</si>
  <si>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</si>
  <si>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</si>
  <si>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</si>
  <si>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</si>
  <si>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</si>
  <si>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</si>
  <si>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</si>
  <si>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</si>
  <si>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</si>
  <si>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</si>
  <si>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</si>
  <si>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</si>
  <si>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</si>
  <si>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</si>
  <si>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</si>
  <si>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</si>
  <si>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</si>
  <si>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</si>
  <si>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</si>
  <si>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</si>
  <si>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</si>
  <si>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</si>
  <si>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</si>
  <si>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</si>
  <si>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</si>
  <si>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</si>
  <si>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</si>
  <si>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</si>
  <si>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</si>
  <si>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</si>
  <si>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</si>
  <si>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</si>
  <si>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</si>
  <si>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</si>
  <si>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</si>
  <si>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</si>
  <si>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</si>
  <si>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</si>
  <si>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</si>
  <si>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</si>
  <si>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</si>
  <si>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</si>
  <si>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</si>
  <si>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</si>
  <si>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</si>
  <si>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</si>
  <si>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</si>
  <si>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</si>
  <si>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</si>
  <si>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</si>
  <si>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</si>
  <si>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</si>
  <si>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</si>
  <si>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</si>
  <si>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</si>
  <si>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</si>
  <si>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</si>
  <si>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</si>
  <si>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</si>
  <si>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</si>
  <si>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</si>
  <si>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</si>
  <si>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</si>
  <si>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</si>
  <si>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</si>
  <si>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</si>
  <si>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</si>
  <si>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</si>
  <si>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</si>
  <si>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</si>
  <si>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</si>
  <si>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</si>
  <si>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</si>
  <si>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</si>
  <si>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</si>
  <si>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</si>
  <si>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</si>
  <si>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</si>
  <si>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</si>
  <si>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</si>
  <si>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</si>
  <si>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</si>
  <si>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</si>
  <si>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</si>
  <si>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</si>
  <si>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</si>
  <si>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</si>
  <si>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</si>
  <si>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</si>
  <si>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</si>
  <si>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</si>
  <si>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</si>
  <si>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</si>
  <si>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</si>
  <si>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</si>
  <si>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</si>
  <si>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</si>
  <si>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</si>
  <si>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</si>
  <si>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</si>
  <si>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</si>
  <si>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</si>
  <si>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</si>
  <si>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</si>
  <si>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</si>
  <si>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</si>
  <si>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</si>
  <si>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</si>
  <si>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</si>
  <si>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</si>
  <si>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</si>
  <si>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</si>
  <si>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</si>
  <si>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</si>
  <si>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</si>
  <si>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</si>
  <si>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</si>
  <si>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</si>
  <si>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</si>
  <si>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</si>
  <si>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</si>
  <si>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</si>
  <si>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</si>
  <si>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</si>
  <si>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</si>
  <si>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</si>
  <si>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</si>
  <si>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</si>
  <si>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</si>
  <si>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</si>
  <si>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</si>
  <si>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</si>
  <si>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</si>
  <si>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</si>
  <si>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</si>
  <si>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</si>
  <si>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</si>
  <si>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</si>
  <si>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</si>
  <si>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</si>
  <si>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</si>
  <si>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</si>
  <si>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</si>
  <si>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</si>
  <si>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</si>
  <si>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</si>
  <si>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</si>
  <si>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</si>
  <si>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</si>
  <si>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</si>
  <si>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</si>
  <si>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</si>
  <si>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</si>
  <si>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</si>
  <si>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</si>
  <si>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</si>
  <si>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</si>
  <si>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</si>
  <si>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</si>
  <si>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</si>
  <si>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</si>
  <si>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</si>
  <si>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</si>
  <si>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</si>
  <si>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</si>
  <si>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</si>
  <si>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</si>
  <si>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</si>
  <si>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</si>
  <si>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</si>
  <si>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</si>
  <si>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</si>
  <si>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</si>
  <si>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</si>
  <si>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</si>
  <si>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</si>
  <si>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</si>
  <si>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</si>
  <si>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</si>
  <si>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</si>
  <si>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</si>
  <si>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</si>
  <si>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</si>
  <si>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</si>
  <si>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</si>
  <si>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</si>
  <si>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</si>
  <si>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</si>
  <si>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</si>
  <si>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</si>
  <si>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</si>
  <si>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</si>
  <si>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</si>
  <si>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</si>
  <si>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</si>
  <si>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</si>
  <si>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</si>
  <si>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</si>
  <si>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</si>
  <si>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</si>
  <si>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</si>
  <si>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</si>
  <si>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</si>
  <si>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</si>
  <si>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</si>
  <si>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</si>
  <si>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</si>
  <si>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</si>
  <si>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</si>
  <si>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</si>
  <si>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</si>
  <si>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</si>
  <si>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 xml:space="preserve">Scratch Pad Area: Use this section for notes or calculations. It will not impact the upload of your CDS responses. </t>
  </si>
  <si>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</si>
  <si>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</si>
  <si>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</si>
  <si>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</si>
  <si>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</si>
  <si>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</si>
  <si>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</si>
  <si>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</si>
  <si>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</si>
  <si>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</si>
  <si>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</si>
  <si>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</si>
  <si>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</si>
  <si>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</si>
  <si>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</si>
  <si>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</si>
  <si>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</si>
  <si>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</si>
  <si>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</si>
  <si>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</si>
  <si>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</si>
  <si>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</si>
  <si>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</si>
  <si>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</si>
  <si>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</si>
  <si>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</si>
  <si>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</si>
  <si>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</si>
  <si>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</si>
  <si>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</si>
  <si>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</si>
  <si>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</si>
  <si>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</si>
  <si>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</si>
  <si>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</si>
  <si>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</si>
  <si>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</si>
  <si>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</si>
  <si>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</si>
  <si>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</si>
  <si>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</si>
  <si>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</si>
  <si>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</si>
  <si>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</si>
  <si>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</si>
  <si>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</si>
  <si>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</si>
  <si>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</si>
  <si>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</si>
  <si>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</si>
  <si>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</si>
  <si>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</si>
  <si>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</si>
  <si>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</si>
  <si>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</si>
  <si>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</si>
  <si>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</si>
  <si>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</si>
  <si>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</si>
  <si>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</si>
  <si>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</si>
  <si>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</si>
  <si>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</si>
  <si>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</si>
  <si>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</si>
  <si>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</si>
  <si>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</si>
  <si>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</si>
  <si>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</si>
  <si>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</si>
  <si>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</si>
  <si>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</si>
  <si>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</si>
  <si>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</si>
  <si>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</si>
  <si>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</si>
  <si>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</si>
  <si>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</si>
  <si>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</si>
  <si>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</si>
  <si>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</si>
  <si>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</si>
  <si>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</si>
  <si>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</si>
  <si>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</si>
  <si>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</si>
  <si>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</si>
  <si>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</si>
  <si>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</si>
  <si>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</si>
  <si>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</si>
  <si>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</si>
  <si>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</si>
  <si>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</si>
  <si>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</si>
  <si>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</si>
  <si>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</si>
  <si>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</si>
  <si>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</si>
  <si>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</si>
  <si>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</si>
  <si>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</si>
  <si>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</si>
  <si>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</si>
  <si>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</si>
  <si>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</si>
  <si>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</si>
  <si>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</si>
  <si>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</si>
  <si>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</si>
  <si>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</si>
  <si>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</si>
  <si>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</si>
  <si>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</si>
  <si>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</si>
  <si>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</si>
  <si>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</si>
  <si>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</si>
  <si>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</si>
  <si>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</si>
  <si>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</si>
  <si>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</si>
  <si>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</si>
  <si>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</si>
  <si>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</si>
  <si>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</si>
  <si>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</si>
  <si>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</si>
  <si>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</si>
  <si>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</si>
  <si>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</si>
  <si>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</si>
  <si>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</si>
  <si>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</si>
  <si>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</si>
  <si>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</si>
  <si>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</si>
  <si>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</si>
  <si>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</si>
  <si>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</si>
  <si>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</si>
  <si>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</si>
  <si>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</si>
  <si>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</si>
  <si>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B13. Of the Initial 2016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</si>
  <si>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</si>
  <si>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</si>
  <si>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</si>
  <si>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</si>
  <si>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</si>
  <si>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</si>
  <si>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</si>
  <si>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</si>
  <si>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</si>
  <si>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</si>
  <si>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</si>
  <si>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</si>
  <si>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</si>
  <si>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</si>
  <si>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</si>
  <si>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</si>
  <si>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</si>
  <si>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</si>
  <si>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</si>
  <si>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</si>
  <si>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</si>
  <si>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</si>
  <si>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</si>
  <si>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</si>
  <si>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</si>
  <si>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</si>
  <si>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</si>
  <si>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</si>
  <si>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</si>
  <si>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</si>
  <si>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</si>
  <si>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</si>
  <si>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</si>
  <si>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</si>
  <si>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</si>
  <si>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</si>
  <si>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</si>
  <si>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</si>
  <si>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</si>
  <si>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</si>
  <si>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</si>
  <si>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</si>
  <si>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</si>
  <si>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</si>
  <si>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</si>
  <si>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</si>
  <si>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</si>
  <si>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</si>
  <si>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</si>
  <si>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</si>
  <si>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</si>
  <si>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</si>
  <si>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</si>
  <si>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</si>
  <si>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</si>
  <si>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</si>
  <si>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</si>
  <si>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</si>
  <si>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</si>
  <si>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</si>
  <si>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</si>
  <si>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</si>
  <si>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</si>
  <si>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</si>
  <si>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</si>
  <si>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</si>
  <si>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</si>
  <si>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</si>
  <si>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</si>
  <si>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</si>
  <si>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</si>
  <si>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</si>
  <si>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</si>
  <si>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</si>
  <si>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</si>
  <si>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</si>
  <si>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</si>
  <si>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</si>
  <si>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</si>
  <si>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</si>
  <si>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</si>
  <si>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</si>
  <si>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</si>
  <si>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</si>
  <si>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</si>
  <si>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</si>
  <si>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</si>
  <si>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</si>
  <si>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</si>
  <si>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</si>
  <si>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</si>
  <si>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</si>
  <si>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</si>
  <si>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</si>
  <si>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</si>
  <si>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</si>
  <si>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</si>
  <si>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</si>
  <si>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</si>
  <si>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</si>
  <si>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</si>
  <si>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</si>
  <si>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</si>
  <si>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</si>
  <si>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</si>
  <si>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</si>
  <si>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</si>
  <si>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</si>
  <si>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</si>
  <si>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</si>
  <si>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</si>
  <si>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</si>
  <si>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</si>
  <si>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</si>
  <si>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</si>
  <si>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</si>
  <si>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</si>
  <si>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</si>
  <si>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</si>
  <si>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</si>
  <si>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</si>
  <si>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</si>
  <si>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</si>
  <si>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</si>
  <si>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</si>
  <si>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</si>
  <si>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</si>
  <si>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</si>
  <si>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</si>
  <si>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</si>
  <si>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</si>
  <si>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</si>
  <si>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</si>
  <si>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</si>
  <si>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</si>
  <si>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</si>
  <si>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</si>
  <si>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</si>
  <si>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</si>
  <si>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</si>
  <si>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</si>
  <si>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</si>
  <si>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</si>
  <si>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</si>
  <si>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</si>
  <si>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</si>
  <si>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</si>
  <si>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</si>
  <si>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</si>
  <si>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</si>
  <si>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</si>
  <si>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</si>
  <si>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</si>
  <si>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</si>
  <si>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</si>
  <si>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</si>
  <si>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</si>
  <si>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</si>
  <si>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</si>
  <si>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</si>
  <si>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</si>
  <si>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</si>
  <si>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</si>
  <si>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</si>
  <si>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</si>
  <si>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</si>
  <si>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</si>
  <si>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</si>
  <si>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</si>
  <si>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</si>
  <si>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</si>
  <si>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</si>
  <si>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</si>
  <si>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</si>
  <si>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</si>
  <si>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</si>
  <si>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</si>
  <si>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</si>
  <si>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</si>
  <si>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</si>
  <si>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</si>
  <si>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</si>
  <si>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</si>
  <si>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</si>
  <si>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</si>
  <si>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</si>
  <si>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</si>
  <si>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</si>
  <si>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</si>
  <si>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</si>
  <si>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</si>
  <si>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</si>
  <si>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</si>
  <si>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</si>
  <si>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</si>
  <si>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</si>
  <si>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</si>
  <si>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</si>
  <si>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</si>
  <si>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</si>
  <si>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</si>
  <si>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</si>
  <si>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</si>
  <si>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</si>
  <si>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</si>
  <si>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</si>
  <si>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</si>
  <si>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</si>
  <si>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</si>
  <si>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</si>
  <si>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</si>
  <si>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</si>
  <si>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</si>
  <si>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</si>
  <si>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</si>
  <si>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</si>
  <si>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</si>
  <si>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</si>
  <si>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</si>
  <si>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</si>
  <si>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</si>
  <si>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</si>
  <si>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</si>
  <si>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</si>
  <si>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</si>
  <si>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</si>
  <si>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</si>
  <si>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</si>
  <si>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</si>
  <si>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</si>
  <si>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</si>
  <si>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</si>
  <si>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</si>
  <si>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</si>
  <si>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</si>
  <si>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</si>
  <si>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</si>
  <si>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</si>
  <si>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</si>
  <si>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</si>
  <si>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</si>
  <si>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</si>
  <si>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</si>
  <si>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</si>
  <si>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</si>
  <si>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</si>
  <si>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</si>
  <si>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</si>
  <si>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</si>
  <si>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</si>
  <si>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</si>
  <si>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</si>
  <si>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</si>
  <si>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</si>
  <si>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</si>
  <si>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</si>
  <si>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</si>
  <si>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</si>
  <si>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</si>
  <si>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</si>
  <si>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</si>
  <si>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</si>
  <si>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</si>
  <si>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</si>
  <si>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</si>
  <si>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</si>
  <si>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</si>
  <si>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</si>
  <si>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</si>
  <si>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</si>
  <si>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</si>
  <si>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</si>
  <si>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</si>
  <si>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</si>
  <si>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</si>
  <si>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</si>
  <si>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</si>
  <si>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</si>
  <si>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</si>
  <si>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</si>
  <si>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</si>
  <si>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</si>
  <si>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</si>
  <si>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</si>
  <si>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</si>
  <si>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</si>
  <si>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</si>
  <si>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</si>
  <si>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</si>
  <si>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</si>
  <si>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</si>
  <si>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</si>
  <si>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</si>
  <si>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</si>
  <si>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</si>
  <si>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</si>
  <si>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</si>
  <si>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</si>
  <si>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</si>
  <si>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</si>
  <si>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</si>
  <si>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</si>
  <si>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</si>
  <si>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</si>
  <si>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</si>
  <si>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</si>
  <si>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</si>
  <si>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</si>
  <si>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</si>
  <si>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</si>
  <si>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</si>
  <si>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</si>
  <si>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</si>
  <si>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</si>
  <si>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</si>
  <si>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</si>
  <si>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</si>
  <si>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</si>
  <si>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</si>
  <si>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</si>
  <si>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</si>
  <si>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</si>
  <si>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</si>
  <si>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</si>
  <si>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</si>
  <si>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</si>
  <si>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</si>
  <si>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</si>
  <si>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</si>
  <si>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</si>
  <si>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</si>
  <si>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</si>
  <si>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For the following sections, please provide 2023-2024 academic year costs of attendance for the following categories that are applicable to your institution. 
If your institution's 2023-2024 academic year costs of attendance are not available at this time, please select the checkbox below and enter the approximate date (i.e. MM/DD) when your institution's final 2023-2024 academic year costs of attendance will be available. </t>
  </si>
  <si>
    <t xml:space="preserve">Tuition and Fee Data Provided are: </t>
  </si>
  <si>
    <t xml:space="preserve">Approximate date costs will be available: </t>
  </si>
  <si>
    <t>G1. Undergraduate, full-time tuition, required fees, food and housing</t>
  </si>
  <si>
    <r>
      <t xml:space="preserve">List the typical tuition, required fees, and food and housing for a full-time undergraduate student for the </t>
    </r>
    <r>
      <rPr>
        <b/>
        <sz val="12"/>
        <color rgb="FF000000"/>
        <rFont val="Times New Roman"/>
        <family val="1"/>
      </rPr>
      <t xml:space="preserve">FULL 2023-2024 </t>
    </r>
    <r>
      <rPr>
        <sz val="12"/>
        <color rgb="FF000000"/>
        <rFont val="Times New Roman"/>
        <family val="1"/>
      </rPr>
      <t xml:space="preserve">academic year. (30 semester hours or 45 quarter hours for institutions that derive annual tuition by multiplying credit hour cost by number of credits). </t>
    </r>
  </si>
  <si>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</si>
  <si>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</si>
  <si>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</si>
  <si>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</si>
  <si>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</si>
  <si>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</si>
  <si>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</si>
  <si>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</si>
  <si>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</si>
  <si>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</si>
  <si>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</si>
  <si>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</si>
  <si>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</si>
  <si>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</si>
  <si>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</si>
  <si>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</si>
  <si>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</si>
  <si>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</si>
  <si>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</si>
  <si>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</si>
  <si>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</si>
  <si>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</si>
  <si>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</si>
  <si>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</si>
  <si>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</si>
  <si>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</si>
  <si>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</si>
  <si>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</si>
  <si>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</si>
  <si>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</si>
  <si>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</si>
  <si>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</si>
  <si>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</si>
  <si>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</si>
  <si>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</si>
  <si>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</si>
  <si>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</si>
  <si>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</si>
  <si>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</si>
  <si>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</si>
  <si>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</si>
  <si>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</si>
  <si>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</si>
  <si>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</si>
  <si>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</si>
  <si>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</si>
  <si>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</si>
  <si>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</si>
  <si>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</si>
  <si>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</si>
  <si>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</si>
  <si>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</si>
  <si>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</si>
  <si>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</si>
  <si>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</si>
  <si>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</si>
  <si>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</si>
  <si>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</si>
  <si>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</si>
  <si>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</si>
  <si>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</si>
  <si>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</si>
  <si>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</si>
  <si>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</si>
  <si>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</si>
  <si>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</si>
  <si>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</si>
  <si>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</si>
  <si>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</si>
  <si>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</si>
  <si>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</si>
  <si>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</si>
  <si>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</si>
  <si>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</si>
  <si>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</si>
  <si>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</si>
  <si>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</si>
  <si>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</si>
  <si>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</si>
  <si>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</si>
  <si>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</si>
  <si>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</si>
  <si>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</si>
  <si>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</si>
  <si>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</si>
  <si>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</si>
  <si>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</si>
  <si>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</si>
  <si>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</si>
  <si>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</si>
  <si>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</si>
  <si>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</si>
  <si>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</si>
  <si>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</si>
  <si>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</si>
  <si>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</si>
  <si>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</si>
  <si>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</si>
  <si>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</si>
  <si>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</si>
  <si>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</si>
  <si>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</si>
  <si>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</si>
  <si>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</si>
  <si>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</si>
  <si>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</si>
  <si>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</si>
  <si>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</si>
  <si>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</si>
  <si>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</si>
  <si>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</si>
  <si>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</si>
  <si>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</si>
  <si>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</si>
  <si>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</si>
  <si>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</si>
  <si>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</si>
  <si>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</si>
  <si>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</si>
  <si>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</si>
  <si>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</si>
  <si>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</si>
  <si>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</si>
  <si>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</si>
  <si>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</si>
  <si>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</si>
  <si>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</si>
  <si>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</si>
  <si>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</si>
  <si>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</si>
  <si>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</si>
  <si>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</si>
  <si>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</si>
  <si>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</si>
  <si>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</si>
  <si>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</si>
  <si>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</si>
  <si>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</si>
  <si>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</si>
  <si>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</si>
  <si>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</si>
  <si>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</si>
  <si>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</si>
  <si>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</si>
  <si>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</si>
  <si>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</si>
  <si>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</si>
  <si>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</si>
  <si>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</si>
  <si>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</si>
  <si>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</si>
  <si>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</si>
  <si>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</si>
  <si>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</si>
  <si>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</si>
  <si>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</si>
  <si>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</si>
  <si>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</si>
  <si>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</si>
  <si>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</si>
  <si>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</si>
  <si>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</si>
  <si>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</si>
  <si>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</si>
  <si>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</si>
  <si>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</si>
  <si>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</si>
  <si>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</si>
  <si>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</si>
  <si>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</si>
  <si>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</si>
  <si>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</si>
  <si>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</si>
  <si>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</si>
  <si>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</si>
  <si>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</si>
  <si>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</si>
  <si>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</si>
  <si>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</si>
  <si>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</si>
  <si>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</si>
  <si>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</si>
  <si>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</si>
  <si>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</si>
  <si>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</si>
  <si>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</si>
  <si>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</si>
  <si>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</si>
  <si>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</si>
  <si>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</si>
  <si>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</si>
  <si>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</si>
  <si>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</si>
  <si>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</si>
  <si>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</si>
  <si>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</si>
  <si>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</si>
  <si>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</si>
  <si>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</si>
  <si>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</si>
  <si>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</si>
  <si>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</si>
  <si>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</si>
  <si>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</si>
  <si>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</si>
  <si>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</si>
  <si>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</si>
  <si>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</si>
  <si>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</si>
  <si>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</si>
  <si>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</si>
  <si>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</si>
  <si>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</si>
  <si>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</si>
  <si>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</si>
  <si>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</si>
  <si>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</si>
  <si>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</si>
  <si>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</si>
  <si>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</si>
  <si>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</si>
  <si>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</si>
  <si>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</si>
  <si>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</si>
  <si>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</si>
  <si>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</si>
  <si>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</si>
  <si>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</si>
  <si>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</si>
  <si>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</si>
  <si>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</si>
  <si>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</si>
  <si>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</si>
  <si>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</si>
  <si>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</si>
  <si>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</si>
  <si>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</si>
  <si>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</si>
  <si>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</si>
  <si>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</si>
  <si>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</si>
  <si>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</si>
  <si>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</si>
  <si>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</si>
  <si>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</si>
  <si>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</si>
  <si>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</si>
  <si>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</si>
  <si>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</si>
  <si>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</si>
  <si>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</si>
  <si>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</si>
  <si>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</si>
  <si>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</si>
  <si>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</si>
  <si>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</si>
  <si>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</si>
  <si>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</si>
  <si>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</si>
  <si>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</si>
  <si>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</si>
  <si>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</si>
  <si>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</si>
  <si>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</si>
  <si>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</si>
  <si>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</si>
  <si>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</si>
  <si>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</si>
  <si>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</si>
  <si>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</si>
  <si>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</si>
  <si>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</si>
  <si>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</si>
  <si>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</si>
  <si>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</si>
  <si>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</si>
  <si>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</si>
  <si>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</si>
  <si>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</si>
  <si>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</si>
  <si>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</si>
  <si>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</si>
  <si>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</si>
  <si>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</si>
  <si>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</si>
  <si>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</si>
  <si>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</si>
  <si>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</si>
  <si>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</si>
  <si>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</si>
  <si>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</si>
  <si>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</si>
  <si>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</si>
  <si>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</si>
  <si>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</si>
  <si>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</si>
  <si>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</si>
  <si>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</si>
  <si>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</si>
  <si>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</si>
  <si>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</si>
  <si>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</si>
  <si>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</si>
  <si>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</si>
  <si>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</si>
  <si>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</si>
  <si>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</si>
  <si>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</si>
  <si>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</si>
  <si>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</si>
  <si>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</si>
  <si>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</si>
  <si>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</si>
  <si>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</si>
  <si>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</si>
  <si>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</si>
  <si>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</si>
  <si>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</si>
  <si>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</si>
  <si>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</si>
  <si>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</si>
  <si>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</si>
  <si>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</si>
  <si>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</si>
  <si>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</si>
  <si>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</si>
  <si>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</si>
  <si>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</si>
  <si>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</si>
  <si>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</si>
  <si>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</si>
  <si>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</si>
  <si>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</si>
  <si>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</si>
  <si>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</si>
  <si>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</si>
  <si>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</si>
  <si>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</si>
  <si>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</si>
  <si>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</si>
  <si>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</si>
  <si>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</si>
  <si>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</si>
  <si>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</si>
  <si>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</si>
  <si>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</si>
  <si>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</si>
  <si>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</si>
  <si>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</si>
  <si>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</si>
  <si>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</si>
  <si>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</si>
  <si>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</si>
  <si>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</si>
  <si>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</si>
  <si>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</si>
  <si>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</si>
  <si>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</si>
  <si>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</si>
  <si>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</si>
  <si>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</si>
  <si>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</si>
  <si>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</si>
  <si>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</si>
  <si>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</si>
  <si>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</si>
  <si>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</si>
  <si>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</si>
  <si>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</si>
  <si>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</si>
  <si>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</si>
  <si>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</si>
  <si>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</si>
  <si>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</si>
  <si>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</si>
  <si>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</si>
  <si>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</si>
  <si>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</si>
  <si>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</si>
  <si>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</si>
  <si>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</si>
  <si>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</si>
  <si>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</si>
  <si>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</si>
  <si>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</si>
  <si>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</si>
  <si>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</si>
  <si>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</si>
  <si>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</si>
  <si>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</si>
  <si>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</si>
  <si>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</si>
  <si>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</si>
  <si>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</si>
  <si>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</si>
  <si>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</si>
  <si>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</si>
  <si>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</si>
  <si>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</si>
  <si>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</si>
  <si>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</si>
  <si>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</si>
  <si>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</si>
  <si>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</si>
  <si>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</si>
  <si>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</si>
  <si>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</si>
  <si>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</si>
  <si>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</si>
  <si>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</si>
  <si>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</si>
  <si>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</si>
  <si>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</si>
  <si>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</si>
  <si>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</si>
  <si>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</si>
  <si>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</si>
  <si>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</si>
  <si>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</si>
  <si>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</si>
  <si>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6_77_185_2696</t>
  </si>
  <si>
    <t>1_6_45_172</t>
  </si>
  <si>
    <t>9_33_133_831</t>
  </si>
  <si>
    <t>9_33_133_832</t>
  </si>
  <si>
    <t>9_33_133_2662</t>
  </si>
  <si>
    <t>9_33_133_830</t>
  </si>
  <si>
    <t>Coeducational</t>
  </si>
  <si>
    <t>Men's College</t>
  </si>
  <si>
    <t>Women's College</t>
  </si>
  <si>
    <t>No set date</t>
  </si>
  <si>
    <t>Yes, in full</t>
  </si>
  <si>
    <t>Yes, in part</t>
  </si>
  <si>
    <t>1_3_16_98</t>
  </si>
  <si>
    <t>1_3_16_99</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</si>
  <si>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</si>
  <si>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</si>
  <si>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</si>
  <si>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</si>
  <si>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</si>
  <si>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5_15_85_464</t>
  </si>
  <si>
    <t>5_15_85_465</t>
  </si>
  <si>
    <t>Required of All</t>
  </si>
  <si>
    <t>Recommended of All</t>
  </si>
  <si>
    <t>4_13_63_349</t>
  </si>
  <si>
    <t>6_77_108_692</t>
  </si>
  <si>
    <t>Raw Answer</t>
  </si>
  <si>
    <t>Must reply by set date</t>
  </si>
  <si>
    <t>1_3_19_107</t>
  </si>
  <si>
    <t>6_77_185_2697</t>
  </si>
  <si>
    <t>D. TRANSFER ADMISSION</t>
  </si>
  <si>
    <t xml:space="preserve">5. Please contact the College Board with any questions about this template: </t>
  </si>
  <si>
    <t>collegesurvey@collegeboard.org</t>
  </si>
  <si>
    <r>
      <t xml:space="preserve">4. There have been reported differences in the view for Mac/Windows Excel users. </t>
    </r>
    <r>
      <rPr>
        <b/>
        <sz val="12"/>
        <color theme="1"/>
        <rFont val="Calibri"/>
        <family val="2"/>
        <scheme val="minor"/>
      </rPr>
      <t>While the worksheets are locked, the row and column formatting (width and height) can be adjusted. Select "View" and click "Headings" for the headings to be displayed.</t>
    </r>
    <r>
      <rPr>
        <sz val="12"/>
        <color theme="1"/>
        <rFont val="Calibri"/>
        <family val="2"/>
        <scheme val="minor"/>
      </rPr>
      <t xml:space="preserve"> You can then drag to adjust row or columns.  </t>
    </r>
    <r>
      <rPr>
        <b/>
        <sz val="12"/>
        <color theme="1"/>
        <rFont val="Calibri"/>
        <family val="2"/>
        <scheme val="minor"/>
      </rPr>
      <t>Please try using following settings:</t>
    </r>
    <r>
      <rPr>
        <sz val="12"/>
        <color theme="1"/>
        <rFont val="Calibri"/>
        <family val="2"/>
        <scheme val="minor"/>
      </rPr>
      <t xml:space="preserve">
Page Layout:
     Margins = Normal
     Orientation = Landscape 
     Page Setup, Select Scaling, adjust percentage until all columns show on single page. 
View: 
     Page Layout
     Uncheck Ruler, Gridlines, Headings
     Zoom between 100 - 140% specific to your preferred view</t>
    </r>
  </si>
  <si>
    <t xml:space="preserve">3. For the College Board's BigFuture College Profiles CDS Upload process: 
- You can upload portions of the CDS template as you complete them. 
- The "Scratch Pad" tab below is unlocked and available for additional notes or formulas. The use of this tab is optional and will not impact the upload process for College Board's BigFuture College Profiles CDS Upload. </t>
  </si>
  <si>
    <t>Peter</t>
  </si>
  <si>
    <t>Bradley</t>
  </si>
  <si>
    <t>Associate Provost for Institutional Effectiveness, Strategic Planning and Assessment</t>
  </si>
  <si>
    <t>Bentley Hall, 210</t>
  </si>
  <si>
    <t>520 North Main Street</t>
  </si>
  <si>
    <t>Meadville</t>
  </si>
  <si>
    <t>814.332.3773</t>
  </si>
  <si>
    <t>pbradley@allegheny.edu</t>
  </si>
  <si>
    <t>https://sites.allegheny.edu/institutional-effectiveness/the-common-data-set/</t>
  </si>
  <si>
    <t>Allegheny College</t>
  </si>
  <si>
    <t>https://allegheny.edu</t>
  </si>
  <si>
    <t>Box 5, 520 North Main</t>
  </si>
  <si>
    <t>admissions@allegheny.edu</t>
  </si>
  <si>
    <t>https://sites.allegheny.edu/admissions/apply</t>
  </si>
  <si>
    <t>https://sites.allegheny.edu/diversity-equity-inclusion/</t>
  </si>
  <si>
    <t xml:space="preserve">Allegheny College is a standardized test optional college. Standardized test scores will be considered if submitted. Only highest section scores across all SAT test dates submitted will be considered.                
                </t>
  </si>
  <si>
    <t>2 years</t>
  </si>
  <si>
    <t>Graduate school partnerships, non-credit internships supported through our career education center, community-engaged and experiential learning,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t>
  </si>
  <si>
    <t>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</si>
  <si>
    <t>PennWest Edinboro</t>
  </si>
  <si>
    <t>https://app.meadowfi.com/allegheny</t>
  </si>
  <si>
    <t xml:space="preserve">International Student’s Financial Aid Application, International Student’s Certification of Finances		</t>
  </si>
  <si>
    <t>Private loans from commercial lenders</t>
  </si>
  <si>
    <t>Veteran's Educational Benefits, Yellow Ribbon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</si>
</sst>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0.00_);\(&quot;$&quot;#,##0.00\)"/>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7" x14ac:knownFonts="1">
    <font>
      <sz val="12"/>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sz val="8"/>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sz val="26"/>
      <color theme="1"/>
      <name val="Calibri"/>
      <family val="2"/>
      <scheme val="minor"/>
    </font>
    <font>
      <i/>
      <sz val="12"/>
      <color rgb="FF000000"/>
      <name val="Calibri (Body)"/>
    </font>
    <font>
      <sz val="12"/>
      <color rgb="FF9C0006"/>
      <name val="Calibri"/>
      <family val="2"/>
      <scheme val="minor"/>
    </font>
    <font>
      <sz val="13"/>
      <color rgb="FF000000"/>
      <name val="Lucida Grande"/>
      <family val="2"/>
    </font>
    <font>
      <sz val="12"/>
      <color rgb="FF000000"/>
      <name val="Calibri"/>
      <family val="2"/>
    </font>
    <font>
      <sz val="10"/>
      <color theme="1"/>
      <name val="Arial"/>
      <family val="2"/>
    </font>
    <font>
      <sz val="13"/>
      <color rgb="FF000000"/>
      <name val="Arial"/>
      <family val="2"/>
    </font>
    <font>
      <u/>
      <sz val="10"/>
      <color rgb="FF0000FF"/>
      <name val="Arial"/>
      <family val="2"/>
    </font>
    <font>
      <sz val="9"/>
      <color theme="1"/>
      <name val="Arial"/>
      <family val="2"/>
    </font>
  </fonts>
  <fills count="8">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rgb="FFFFC7CE"/>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6" tint="0.39997558519241921"/>
      </top>
      <bottom style="thin">
        <color theme="6" tint="0.39997558519241921"/>
      </bottom>
      <diagonal/>
    </border>
    <border>
      <left/>
      <right/>
      <top style="thin">
        <color rgb="FFC9C9C9"/>
      </top>
      <bottom style="thin">
        <color rgb="FFC9C9C9"/>
      </bottom>
      <diagonal/>
    </border>
    <border>
      <left style="thin">
        <color indexed="64"/>
      </left>
      <right/>
      <top/>
      <bottom style="thin">
        <color indexed="64"/>
      </bottom>
      <diagonal/>
    </border>
    <border>
      <left/>
      <right/>
      <top style="thin">
        <color indexed="64"/>
      </top>
      <bottom/>
      <diagonal/>
    </border>
    <border>
      <left/>
      <right/>
      <top style="thin">
        <color theme="6" tint="0.39997558519241921"/>
      </top>
      <bottom/>
      <diagonal/>
    </border>
    <border>
      <left/>
      <right/>
      <top/>
      <bottom style="thin">
        <color theme="6" tint="0.39997558519241921"/>
      </bottom>
      <diagonal/>
    </border>
    <border>
      <left style="thin">
        <color indexed="64"/>
      </left>
      <right/>
      <top/>
      <bottom/>
      <diagonal/>
    </border>
    <border>
      <left/>
      <right/>
      <top/>
      <bottom style="thin">
        <color rgb="FFC9C9C9"/>
      </bottom>
      <diagonal/>
    </border>
  </borders>
  <cellStyleXfs count="7">
    <xf numFmtId="0" fontId="0" fillId="0" borderId="0"/>
    <xf numFmtId="0" fontId="3" fillId="0" borderId="1"/>
    <xf numFmtId="0" fontId="9" fillId="0" borderId="0"/>
    <xf numFmtId="9" fontId="11" fillId="0" borderId="0" applyFont="0" applyFill="0" applyBorder="0" applyAlignment="0" applyProtection="0"/>
    <xf numFmtId="44" fontId="11" fillId="0" borderId="0" applyFont="0" applyFill="0" applyBorder="0" applyAlignment="0" applyProtection="0"/>
    <xf numFmtId="0" fontId="60" fillId="6" borderId="0" applyNumberFormat="0" applyBorder="0" applyAlignment="0" applyProtection="0"/>
    <xf numFmtId="43" fontId="11" fillId="0" borderId="0" applyFont="0" applyFill="0" applyBorder="0" applyAlignment="0" applyProtection="0"/>
  </cellStyleXfs>
  <cellXfs count="372">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left"/>
    </xf>
    <xf numFmtId="0" fontId="2" fillId="0" borderId="0" xfId="0" applyFont="1"/>
    <xf numFmtId="0" fontId="4"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5"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0" xfId="0" applyFont="1" applyAlignment="1">
      <alignment horizontal="center" vertical="center" wrapText="1"/>
    </xf>
    <xf numFmtId="0" fontId="0" fillId="0" borderId="0" xfId="0" applyAlignment="1">
      <alignment horizontal="center" vertical="center" wrapText="1"/>
    </xf>
    <xf numFmtId="0" fontId="16" fillId="0" borderId="0" xfId="0" applyFont="1" applyAlignment="1">
      <alignment vertical="center" wrapText="1"/>
    </xf>
    <xf numFmtId="0" fontId="1" fillId="0" borderId="1" xfId="0" applyFont="1" applyBorder="1" applyAlignment="1">
      <alignment horizontal="center" vertical="center"/>
    </xf>
    <xf numFmtId="0" fontId="0" fillId="0" borderId="9" xfId="0" applyBorder="1"/>
    <xf numFmtId="0" fontId="16" fillId="0" borderId="9" xfId="0" applyFont="1" applyBorder="1"/>
    <xf numFmtId="0" fontId="0" fillId="0" borderId="10" xfId="0" applyBorder="1"/>
    <xf numFmtId="0" fontId="16" fillId="0" borderId="0" xfId="0" applyFont="1"/>
    <xf numFmtId="0" fontId="16"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5" fillId="0" borderId="0" xfId="0" applyFont="1" applyAlignment="1">
      <alignment horizontal="center"/>
    </xf>
    <xf numFmtId="0" fontId="16"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1" fillId="0" borderId="0" xfId="0" applyNumberFormat="1" applyFont="1" applyAlignment="1">
      <alignment horizontal="center" vertical="center"/>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4" fillId="0" borderId="1" xfId="0" applyFont="1" applyBorder="1" applyAlignment="1" applyProtection="1">
      <alignment horizontal="center"/>
      <protection locked="0"/>
    </xf>
    <xf numFmtId="0" fontId="14" fillId="0" borderId="0" xfId="0" applyFont="1"/>
    <xf numFmtId="0" fontId="36"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10" fillId="0" borderId="0" xfId="2" applyFont="1" applyProtection="1">
      <protection locked="0"/>
    </xf>
    <xf numFmtId="0" fontId="3" fillId="0" borderId="1" xfId="1" applyAlignment="1" applyProtection="1">
      <alignment horizontal="center" vertical="center"/>
      <protection locked="0"/>
    </xf>
    <xf numFmtId="0" fontId="3" fillId="0" borderId="0" xfId="1" applyBorder="1" applyAlignment="1">
      <alignment horizontal="center" vertical="center" wrapText="1"/>
    </xf>
    <xf numFmtId="0" fontId="0" fillId="0" borderId="13" xfId="0" applyBorder="1"/>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0" fontId="0" fillId="0" borderId="0" xfId="0" applyAlignment="1" applyProtection="1">
      <alignment horizontal="center" vertical="center" wrapText="1"/>
      <protection locked="0"/>
    </xf>
    <xf numFmtId="0" fontId="16"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3" fillId="0" borderId="1" xfId="1" applyNumberFormat="1" applyAlignment="1" applyProtection="1">
      <alignment horizontal="center"/>
      <protection locked="0"/>
    </xf>
    <xf numFmtId="49" fontId="3"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3" fillId="0" borderId="1" xfId="1" applyAlignment="1" applyProtection="1">
      <alignment horizontal="center"/>
      <protection locked="0"/>
    </xf>
    <xf numFmtId="0" fontId="1" fillId="0" borderId="0" xfId="0" applyFont="1" applyAlignment="1" applyProtection="1">
      <alignment horizontal="center" vertical="center" wrapText="1"/>
      <protection locked="0"/>
    </xf>
    <xf numFmtId="164" fontId="0" fillId="0" borderId="0" xfId="0" applyNumberFormat="1" applyAlignment="1" applyProtection="1">
      <alignment horizontal="center" wrapText="1"/>
      <protection locked="0"/>
    </xf>
    <xf numFmtId="167" fontId="0" fillId="0" borderId="0" xfId="0" applyNumberFormat="1" applyAlignment="1" applyProtection="1">
      <alignment horizontal="center" wrapText="1"/>
      <protection locked="0"/>
    </xf>
    <xf numFmtId="49" fontId="0" fillId="0" borderId="0" xfId="0" applyNumberFormat="1" applyAlignment="1" applyProtection="1">
      <alignment horizontal="center" vertical="center" wrapText="1"/>
      <protection locked="0"/>
    </xf>
    <xf numFmtId="0" fontId="8" fillId="0" borderId="0" xfId="0" applyFont="1"/>
    <xf numFmtId="0" fontId="16" fillId="0" borderId="10" xfId="0" applyFont="1" applyBorder="1"/>
    <xf numFmtId="49" fontId="0" fillId="0" borderId="0" xfId="0" applyNumberFormat="1" applyProtection="1">
      <protection locked="0"/>
    </xf>
    <xf numFmtId="0" fontId="1" fillId="0" borderId="0" xfId="0" applyFont="1" applyProtection="1">
      <protection locked="0"/>
    </xf>
    <xf numFmtId="1" fontId="0" fillId="0" borderId="0" xfId="0" applyNumberFormat="1" applyAlignment="1" applyProtection="1">
      <alignment horizontal="center" vertical="center" wrapText="1"/>
      <protection locked="0"/>
    </xf>
    <xf numFmtId="0" fontId="3" fillId="0" borderId="0" xfId="1" applyBorder="1" applyAlignment="1">
      <alignment horizontal="center" vertical="center"/>
    </xf>
    <xf numFmtId="0" fontId="5" fillId="0" borderId="0" xfId="0" applyFont="1" applyAlignment="1">
      <alignment horizontal="right" vertical="top" wrapText="1"/>
    </xf>
    <xf numFmtId="0" fontId="3" fillId="0" borderId="0" xfId="1" applyBorder="1" applyAlignment="1">
      <alignment horizontal="center"/>
    </xf>
    <xf numFmtId="0" fontId="3" fillId="0" borderId="0" xfId="1" applyBorder="1"/>
    <xf numFmtId="0" fontId="2"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0" fontId="3" fillId="0" borderId="0" xfId="1" applyBorder="1" applyAlignment="1">
      <alignment horizontal="left" vertical="top" wrapText="1"/>
    </xf>
    <xf numFmtId="0" fontId="0" fillId="0" borderId="9" xfId="0" applyBorder="1" applyAlignment="1">
      <alignment horizontal="center"/>
    </xf>
    <xf numFmtId="171" fontId="7" fillId="0" borderId="1" xfId="0" applyNumberFormat="1" applyFont="1" applyBorder="1" applyAlignment="1" applyProtection="1">
      <alignment horizontal="center" vertical="center" wrapText="1"/>
      <protection locked="0"/>
    </xf>
    <xf numFmtId="171" fontId="7"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8" fillId="0" borderId="1" xfId="0" applyNumberFormat="1" applyFont="1" applyBorder="1" applyAlignment="1" applyProtection="1">
      <alignment horizontal="center" vertical="center"/>
      <protection locked="0"/>
    </xf>
    <xf numFmtId="0" fontId="16" fillId="0" borderId="16" xfId="0" applyFont="1" applyBorder="1"/>
    <xf numFmtId="0" fontId="8" fillId="0" borderId="9" xfId="0" applyFont="1" applyBorder="1"/>
    <xf numFmtId="0" fontId="16" fillId="0" borderId="9" xfId="0" applyFont="1" applyBorder="1" applyAlignment="1">
      <alignment horizontal="left" vertical="top"/>
    </xf>
    <xf numFmtId="0" fontId="16" fillId="0" borderId="14" xfId="0" applyFont="1" applyBorder="1" applyAlignment="1">
      <alignment horizontal="left" vertical="top"/>
    </xf>
    <xf numFmtId="0" fontId="0" fillId="0" borderId="0" xfId="0" applyProtection="1">
      <protection hidden="1"/>
    </xf>
    <xf numFmtId="0" fontId="16" fillId="0" borderId="9" xfId="0" applyFont="1" applyBorder="1" applyAlignment="1">
      <alignment vertical="center"/>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8"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0" xfId="0" applyNumberFormat="1" applyAlignment="1" applyProtection="1">
      <alignment horizontal="center" wrapText="1"/>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2" fontId="0" fillId="0" borderId="0" xfId="0" applyNumberFormat="1" applyAlignment="1" applyProtection="1">
      <alignment horizontal="center" wrapText="1"/>
      <protection locked="0"/>
    </xf>
    <xf numFmtId="0" fontId="0" fillId="0" borderId="1" xfId="0" applyBorder="1" applyAlignment="1" applyProtection="1">
      <alignment horizontal="center" wrapText="1"/>
      <protection locked="0"/>
    </xf>
    <xf numFmtId="0" fontId="28" fillId="0" borderId="0" xfId="0" applyFont="1" applyAlignment="1">
      <alignment horizontal="center" vertical="top"/>
    </xf>
    <xf numFmtId="171" fontId="0" fillId="0" borderId="0" xfId="0" applyNumberFormat="1" applyAlignment="1">
      <alignment horizontal="center" vertical="center" wrapText="1"/>
    </xf>
    <xf numFmtId="0" fontId="16"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6" fillId="0" borderId="1" xfId="0" applyFont="1" applyBorder="1" applyAlignment="1">
      <alignment horizontal="right" vertical="top"/>
    </xf>
    <xf numFmtId="0" fontId="0" fillId="0" borderId="1" xfId="0" applyBorder="1" applyAlignment="1">
      <alignment horizontal="right"/>
    </xf>
    <xf numFmtId="0" fontId="5" fillId="0" borderId="0" xfId="0" applyFont="1" applyAlignment="1">
      <alignment horizontal="right"/>
    </xf>
    <xf numFmtId="0" fontId="34" fillId="0" borderId="0" xfId="0" applyFont="1"/>
    <xf numFmtId="0" fontId="8" fillId="0" borderId="1" xfId="0" applyFont="1" applyBorder="1" applyAlignment="1">
      <alignment horizontal="center" vertical="center" wrapText="1"/>
    </xf>
    <xf numFmtId="171" fontId="0" fillId="0" borderId="0" xfId="0" applyNumberFormat="1" applyAlignment="1">
      <alignment horizontal="center"/>
    </xf>
    <xf numFmtId="0" fontId="59" fillId="0" borderId="0" xfId="0" applyFont="1" applyAlignment="1">
      <alignment horizontal="left" indent="1"/>
    </xf>
    <xf numFmtId="0" fontId="5"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1" fillId="0" borderId="0" xfId="0" applyFont="1" applyAlignment="1">
      <alignment horizontal="left" wrapText="1"/>
    </xf>
    <xf numFmtId="0" fontId="0" fillId="0" borderId="2" xfId="0" applyBorder="1" applyAlignment="1">
      <alignment horizontal="right" vertical="center" wrapText="1"/>
    </xf>
    <xf numFmtId="0" fontId="1" fillId="0" borderId="6" xfId="0" applyFont="1" applyBorder="1" applyAlignment="1">
      <alignment horizontal="center" vertical="center" wrapText="1"/>
    </xf>
    <xf numFmtId="0" fontId="0" fillId="0" borderId="2" xfId="0" applyBorder="1" applyAlignment="1">
      <alignment horizontal="right" vertical="center"/>
    </xf>
    <xf numFmtId="0" fontId="5"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5" fillId="0" borderId="2" xfId="0" applyNumberFormat="1" applyFont="1" applyBorder="1" applyAlignment="1">
      <alignment horizontal="right"/>
    </xf>
    <xf numFmtId="0" fontId="1" fillId="0" borderId="1" xfId="0" applyFont="1" applyBorder="1" applyAlignment="1">
      <alignment horizontal="center"/>
    </xf>
    <xf numFmtId="9" fontId="0" fillId="4" borderId="1" xfId="0" applyNumberFormat="1" applyFill="1" applyBorder="1" applyAlignment="1">
      <alignment horizontal="center" vertical="center"/>
    </xf>
    <xf numFmtId="0" fontId="1" fillId="0" borderId="2" xfId="0" applyFont="1" applyBorder="1" applyAlignment="1">
      <alignment horizontal="right"/>
    </xf>
    <xf numFmtId="0" fontId="1" fillId="0" borderId="6" xfId="0" applyFont="1" applyBorder="1" applyAlignment="1">
      <alignment horizontal="center"/>
    </xf>
    <xf numFmtId="0" fontId="16"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5"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7" fillId="0" borderId="0" xfId="0" applyFont="1"/>
    <xf numFmtId="0" fontId="5" fillId="0" borderId="0" xfId="0" applyFont="1" applyAlignment="1">
      <alignment horizontal="left" indent="3"/>
    </xf>
    <xf numFmtId="0" fontId="5" fillId="0" borderId="0" xfId="0" applyFont="1" applyAlignment="1">
      <alignment horizontal="left" indent="4"/>
    </xf>
    <xf numFmtId="0" fontId="0" fillId="0" borderId="0" xfId="0" applyAlignment="1">
      <alignment horizontal="left" indent="12"/>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40" fillId="0" borderId="0" xfId="0" applyFont="1" applyAlignment="1">
      <alignment vertical="center" wrapText="1"/>
    </xf>
    <xf numFmtId="0" fontId="40" fillId="0" borderId="0" xfId="0" applyFont="1"/>
    <xf numFmtId="0" fontId="0" fillId="4" borderId="1" xfId="0" applyFill="1" applyBorder="1" applyAlignment="1">
      <alignment horizontal="center"/>
    </xf>
    <xf numFmtId="0" fontId="0" fillId="0" borderId="9" xfId="0" applyBorder="1" applyAlignment="1">
      <alignment horizontal="center" vertical="center"/>
    </xf>
    <xf numFmtId="164" fontId="0" fillId="0" borderId="0" xfId="0" applyNumberFormat="1" applyAlignment="1">
      <alignment horizontal="center" vertical="center"/>
    </xf>
    <xf numFmtId="0" fontId="0" fillId="0" borderId="6" xfId="0" applyBorder="1" applyProtection="1">
      <protection locked="0"/>
    </xf>
    <xf numFmtId="0" fontId="0" fillId="0" borderId="0" xfId="0" applyAlignment="1">
      <alignment horizontal="right" wrapText="1"/>
    </xf>
    <xf numFmtId="0" fontId="5"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1"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166" fontId="0" fillId="0" borderId="0" xfId="0" applyNumberFormat="1" applyAlignment="1" applyProtection="1">
      <alignment horizontal="center" vertical="center" wrapText="1"/>
      <protection locked="0"/>
    </xf>
    <xf numFmtId="0" fontId="0" fillId="0" borderId="1" xfId="0" applyBorder="1" applyAlignment="1">
      <alignment horizontal="center" vertical="center" wrapText="1"/>
    </xf>
    <xf numFmtId="0" fontId="3" fillId="0" borderId="1" xfId="1" applyAlignment="1" applyProtection="1">
      <alignment horizontal="center" vertical="center" wrapText="1"/>
      <protection locked="0"/>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28" fillId="0" borderId="0" xfId="0" applyFont="1" applyAlignment="1">
      <alignment vertical="top" wrapText="1"/>
    </xf>
    <xf numFmtId="0" fontId="16" fillId="0" borderId="0" xfId="0" applyFont="1" applyAlignment="1">
      <alignment vertical="top"/>
    </xf>
    <xf numFmtId="0" fontId="50" fillId="0" borderId="0" xfId="0" applyFont="1" applyAlignment="1">
      <alignment vertical="top" wrapText="1"/>
    </xf>
    <xf numFmtId="0" fontId="1" fillId="0" borderId="1" xfId="0" applyFont="1" applyBorder="1" applyAlignment="1">
      <alignment horizontal="left" indent="3"/>
    </xf>
    <xf numFmtId="0" fontId="0" fillId="0" borderId="1" xfId="0" applyBorder="1" applyAlignment="1">
      <alignment horizontal="left" wrapText="1" indent="3"/>
    </xf>
    <xf numFmtId="0" fontId="1" fillId="3" borderId="1" xfId="0" applyFont="1" applyFill="1" applyBorder="1" applyAlignment="1">
      <alignment horizontal="right" wrapText="1"/>
    </xf>
    <xf numFmtId="0" fontId="1"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49" fillId="0" borderId="0" xfId="0" applyFont="1" applyAlignment="1">
      <alignment horizontal="right"/>
    </xf>
    <xf numFmtId="0" fontId="51" fillId="0" borderId="0" xfId="0" applyFont="1"/>
    <xf numFmtId="166" fontId="0" fillId="0" borderId="1" xfId="4" applyNumberFormat="1" applyFont="1" applyBorder="1" applyAlignment="1" applyProtection="1">
      <alignment horizontal="center" vertical="center"/>
      <protection locked="0"/>
    </xf>
    <xf numFmtId="166" fontId="1" fillId="3" borderId="1" xfId="4" applyNumberFormat="1" applyFont="1" applyFill="1" applyBorder="1" applyAlignment="1" applyProtection="1">
      <alignment horizontal="center" vertical="center"/>
    </xf>
    <xf numFmtId="166" fontId="1"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4" fillId="0" borderId="0" xfId="0" applyFont="1" applyAlignment="1">
      <alignment vertical="center"/>
    </xf>
    <xf numFmtId="49" fontId="1" fillId="0" borderId="0" xfId="0" applyNumberFormat="1" applyFont="1" applyAlignment="1">
      <alignment horizontal="right"/>
    </xf>
    <xf numFmtId="0" fontId="49" fillId="0" borderId="12" xfId="0" applyFont="1" applyBorder="1" applyAlignment="1">
      <alignment horizontal="right"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6" fillId="0" borderId="1" xfId="0" applyFont="1" applyBorder="1" applyAlignment="1">
      <alignment vertical="center" wrapText="1"/>
    </xf>
    <xf numFmtId="0" fontId="28" fillId="0" borderId="1" xfId="0" applyFont="1" applyBorder="1" applyAlignment="1">
      <alignment horizontal="center" vertical="center" wrapText="1"/>
    </xf>
    <xf numFmtId="0" fontId="30"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28" fillId="0" borderId="0" xfId="0" applyFont="1" applyAlignment="1">
      <alignment horizontal="justify" vertical="center" wrapText="1"/>
    </xf>
    <xf numFmtId="0" fontId="16" fillId="0" borderId="0" xfId="0" applyFont="1" applyAlignment="1">
      <alignment horizontal="justify" vertical="center" wrapText="1"/>
    </xf>
    <xf numFmtId="0" fontId="16" fillId="0" borderId="0" xfId="0" applyFont="1" applyAlignment="1">
      <alignment horizontal="left" vertical="center" wrapText="1"/>
    </xf>
    <xf numFmtId="0" fontId="0" fillId="0" borderId="0" xfId="0" applyAlignment="1">
      <alignment vertical="center" wrapText="1"/>
    </xf>
    <xf numFmtId="0" fontId="57" fillId="0" borderId="0" xfId="0" applyFont="1" applyAlignment="1">
      <alignment vertical="center" wrapText="1"/>
    </xf>
    <xf numFmtId="171" fontId="0" fillId="4" borderId="1" xfId="0" applyNumberFormat="1" applyFill="1" applyBorder="1" applyAlignment="1">
      <alignment horizontal="center" vertical="center"/>
    </xf>
    <xf numFmtId="0" fontId="36" fillId="0" borderId="0" xfId="0" applyFont="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6"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1" fillId="0" borderId="0" xfId="0" applyNumberFormat="1" applyFont="1" applyAlignment="1">
      <alignment horizontal="center" vertical="center"/>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0" fillId="0" borderId="0" xfId="0" applyFont="1" applyAlignment="1">
      <alignment vertical="center"/>
    </xf>
    <xf numFmtId="0" fontId="22" fillId="5" borderId="4" xfId="0" applyFont="1" applyFill="1" applyBorder="1"/>
    <xf numFmtId="0" fontId="7" fillId="0" borderId="1" xfId="0" applyFont="1" applyBorder="1" applyAlignment="1">
      <alignment horizontal="left" vertical="center" wrapText="1" indent="2"/>
    </xf>
    <xf numFmtId="0" fontId="21" fillId="3" borderId="1" xfId="0" applyFont="1" applyFill="1" applyBorder="1" applyAlignment="1">
      <alignment horizontal="right" vertical="center" wrapText="1"/>
    </xf>
    <xf numFmtId="171" fontId="1" fillId="3" borderId="1" xfId="0" applyNumberFormat="1" applyFont="1" applyFill="1" applyBorder="1" applyAlignment="1">
      <alignment horizontal="center" vertical="center"/>
    </xf>
    <xf numFmtId="171" fontId="1" fillId="0" borderId="1" xfId="0" applyNumberFormat="1" applyFont="1" applyBorder="1" applyAlignment="1">
      <alignment horizontal="center" vertical="center"/>
    </xf>
    <xf numFmtId="171" fontId="1" fillId="0" borderId="0" xfId="0" applyNumberFormat="1" applyFont="1" applyAlignment="1">
      <alignment horizontal="center" vertical="center"/>
    </xf>
    <xf numFmtId="0" fontId="21" fillId="0" borderId="0" xfId="0" applyFont="1" applyAlignment="1">
      <alignment horizontal="right" vertical="center" wrapText="1"/>
    </xf>
    <xf numFmtId="0" fontId="22" fillId="5" borderId="11" xfId="0" applyFont="1" applyFill="1" applyBorder="1" applyAlignment="1">
      <alignment vertical="center" wrapText="1"/>
    </xf>
    <xf numFmtId="0" fontId="21" fillId="0" borderId="0" xfId="0" applyFont="1" applyAlignment="1">
      <alignment vertical="center" wrapText="1"/>
    </xf>
    <xf numFmtId="0" fontId="7" fillId="0" borderId="0" xfId="0" applyFont="1" applyAlignment="1">
      <alignment horizontal="center" vertical="center" wrapText="1"/>
    </xf>
    <xf numFmtId="171" fontId="7" fillId="4" borderId="1" xfId="0" applyNumberFormat="1" applyFont="1" applyFill="1" applyBorder="1" applyAlignment="1">
      <alignment horizontal="center" vertical="center" wrapText="1"/>
    </xf>
    <xf numFmtId="0" fontId="7" fillId="0" borderId="0" xfId="0" applyFont="1" applyAlignment="1">
      <alignment vertical="center"/>
    </xf>
    <xf numFmtId="0" fontId="21" fillId="0" borderId="0" xfId="0" applyFont="1" applyAlignment="1">
      <alignment horizontal="left" vertical="center" wrapText="1" indent="19"/>
    </xf>
    <xf numFmtId="0" fontId="21" fillId="0" borderId="0" xfId="0" applyFont="1" applyAlignment="1">
      <alignment horizontal="center" vertical="center" wrapText="1"/>
    </xf>
    <xf numFmtId="0" fontId="7" fillId="0" borderId="0" xfId="0" applyFont="1" applyAlignment="1">
      <alignment horizontal="right" vertical="center" indent="4"/>
    </xf>
    <xf numFmtId="0" fontId="7" fillId="0" borderId="0" xfId="0" applyFont="1" applyAlignment="1">
      <alignment horizontal="right" vertical="center" wrapText="1" indent="19"/>
    </xf>
    <xf numFmtId="1" fontId="7" fillId="0" borderId="0" xfId="0" applyNumberFormat="1" applyFont="1" applyAlignment="1">
      <alignment horizontal="right" vertical="center" wrapText="1"/>
    </xf>
    <xf numFmtId="0" fontId="7" fillId="0" borderId="0" xfId="0" applyFont="1" applyAlignment="1">
      <alignment horizontal="left" vertical="center" wrapText="1" indent="19"/>
    </xf>
    <xf numFmtId="0" fontId="7" fillId="0" borderId="0" xfId="0" applyFont="1" applyAlignment="1">
      <alignment horizontal="right" vertical="center" wrapText="1"/>
    </xf>
    <xf numFmtId="1" fontId="7" fillId="0" borderId="0" xfId="0" applyNumberFormat="1" applyFont="1" applyAlignment="1">
      <alignment horizontal="center" vertical="center" wrapText="1"/>
    </xf>
    <xf numFmtId="0" fontId="27" fillId="0" borderId="0" xfId="0" applyFont="1" applyAlignment="1">
      <alignment vertical="center" wrapText="1"/>
    </xf>
    <xf numFmtId="171" fontId="0" fillId="3" borderId="1" xfId="0" applyNumberFormat="1" applyFill="1" applyBorder="1" applyAlignment="1">
      <alignment horizontal="center" vertical="center"/>
    </xf>
    <xf numFmtId="0" fontId="1" fillId="0" borderId="0" xfId="0" applyFont="1" applyAlignment="1">
      <alignment horizontal="right" vertical="top" wrapText="1"/>
    </xf>
    <xf numFmtId="0" fontId="22" fillId="5" borderId="1" xfId="0" applyFont="1" applyFill="1" applyBorder="1" applyAlignment="1">
      <alignment horizontal="center" vertical="center"/>
    </xf>
    <xf numFmtId="49" fontId="13"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8" fillId="3" borderId="1" xfId="0" applyNumberFormat="1" applyFont="1" applyFill="1" applyBorder="1" applyAlignment="1">
      <alignment horizontal="center" vertical="center"/>
    </xf>
    <xf numFmtId="2" fontId="0" fillId="0" borderId="0" xfId="0" applyNumberFormat="1" applyAlignment="1">
      <alignment horizontal="center" vertical="center"/>
    </xf>
    <xf numFmtId="9" fontId="0" fillId="0" borderId="0" xfId="3" applyFont="1" applyAlignment="1">
      <alignment horizontal="center" vertical="center"/>
    </xf>
    <xf numFmtId="167" fontId="0" fillId="0" borderId="1" xfId="0" applyNumberFormat="1" applyBorder="1" applyAlignment="1" applyProtection="1">
      <alignment horizontal="center"/>
      <protection locked="0"/>
    </xf>
    <xf numFmtId="165" fontId="0" fillId="0" borderId="0" xfId="0" applyNumberFormat="1" applyAlignment="1">
      <alignment horizontal="center" vertical="center"/>
    </xf>
    <xf numFmtId="165" fontId="0" fillId="0" borderId="0" xfId="3" applyNumberFormat="1" applyFont="1" applyAlignment="1">
      <alignment horizontal="center" vertical="center"/>
    </xf>
    <xf numFmtId="1" fontId="0" fillId="0" borderId="0" xfId="3" applyNumberFormat="1" applyFont="1" applyAlignment="1">
      <alignment horizontal="center" vertical="center"/>
    </xf>
    <xf numFmtId="172" fontId="0" fillId="0" borderId="1" xfId="0" applyNumberFormat="1" applyBorder="1" applyAlignment="1" applyProtection="1">
      <alignment horizontal="center"/>
      <protection locked="0"/>
    </xf>
    <xf numFmtId="0" fontId="11" fillId="0" borderId="0" xfId="0" applyFont="1" applyAlignment="1">
      <alignment horizontal="left" vertical="top" wrapText="1"/>
    </xf>
    <xf numFmtId="0" fontId="3" fillId="0" borderId="1" xfId="1" applyProtection="1">
      <protection locked="0"/>
    </xf>
    <xf numFmtId="172" fontId="0" fillId="0" borderId="0" xfId="0" applyNumberFormat="1" applyAlignment="1">
      <alignment horizontal="center" vertical="center"/>
    </xf>
    <xf numFmtId="3" fontId="0" fillId="0" borderId="0" xfId="0" applyNumberFormat="1" applyAlignment="1" applyProtection="1">
      <alignment horizontal="center"/>
      <protection locked="0"/>
    </xf>
    <xf numFmtId="0" fontId="16" fillId="0" borderId="0" xfId="0" applyFont="1" applyAlignment="1" applyProtection="1">
      <alignment horizontal="center" vertical="center" wrapText="1"/>
      <protection locked="0"/>
    </xf>
    <xf numFmtId="171" fontId="0" fillId="0" borderId="0" xfId="0" applyNumberFormat="1" applyAlignment="1" applyProtection="1">
      <alignment horizontal="center" vertical="center" wrapText="1"/>
      <protection locked="0"/>
    </xf>
    <xf numFmtId="171" fontId="0" fillId="0" borderId="0" xfId="3" applyNumberFormat="1" applyFont="1" applyAlignment="1" applyProtection="1">
      <alignment horizontal="center" vertical="center" wrapText="1"/>
      <protection locked="0"/>
    </xf>
    <xf numFmtId="172" fontId="0" fillId="0" borderId="0" xfId="0" applyNumberFormat="1" applyAlignment="1" applyProtection="1">
      <alignment horizontal="center" vertical="center" wrapText="1"/>
      <protection locked="0"/>
    </xf>
    <xf numFmtId="172" fontId="0" fillId="0" borderId="0" xfId="3" applyNumberFormat="1" applyFont="1" applyAlignment="1" applyProtection="1">
      <alignment horizontal="center" vertical="center" wrapText="1"/>
      <protection locked="0"/>
    </xf>
    <xf numFmtId="2" fontId="0" fillId="0" borderId="0" xfId="3" applyNumberFormat="1" applyFont="1" applyAlignment="1" applyProtection="1">
      <alignment horizontal="center" vertical="center" wrapText="1"/>
      <protection locked="0"/>
    </xf>
    <xf numFmtId="7" fontId="0" fillId="0" borderId="0" xfId="4" applyNumberFormat="1" applyFont="1" applyAlignment="1" applyProtection="1">
      <alignment horizontal="center" vertical="center" wrapText="1"/>
      <protection locked="0"/>
    </xf>
    <xf numFmtId="49" fontId="0" fillId="0" borderId="0" xfId="0" applyNumberFormat="1" applyAlignment="1">
      <alignment horizontal="center" vertical="center"/>
    </xf>
    <xf numFmtId="49" fontId="60" fillId="6" borderId="0" xfId="5" applyNumberFormat="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168" fontId="0" fillId="0" borderId="0" xfId="4" applyNumberFormat="1" applyFont="1" applyAlignment="1" applyProtection="1">
      <alignment horizontal="center" vertical="center" wrapText="1"/>
      <protection locked="0"/>
    </xf>
    <xf numFmtId="0" fontId="58" fillId="7" borderId="0" xfId="0" applyFont="1" applyFill="1" applyAlignment="1" applyProtection="1">
      <alignment vertical="top"/>
      <protection locked="0"/>
    </xf>
    <xf numFmtId="0" fontId="0" fillId="7" borderId="0" xfId="0" applyFill="1"/>
    <xf numFmtId="0" fontId="3" fillId="0" borderId="1" xfId="1" applyAlignment="1">
      <alignment horizontal="center"/>
    </xf>
    <xf numFmtId="0" fontId="63" fillId="0" borderId="1" xfId="0" applyFont="1" applyBorder="1" applyAlignment="1" applyProtection="1">
      <alignment horizontal="center" vertical="center" wrapText="1"/>
      <protection locked="0"/>
    </xf>
    <xf numFmtId="169" fontId="64" fillId="0" borderId="1" xfId="0" applyNumberFormat="1" applyFont="1" applyBorder="1" applyAlignment="1" applyProtection="1">
      <alignment horizontal="center" vertical="center" wrapText="1"/>
      <protection locked="0"/>
    </xf>
    <xf numFmtId="49" fontId="63" fillId="0" borderId="1" xfId="1" applyNumberFormat="1" applyFont="1" applyAlignment="1" applyProtection="1">
      <alignment horizontal="center" vertical="center" wrapText="1"/>
      <protection locked="0"/>
    </xf>
    <xf numFmtId="0" fontId="63" fillId="0" borderId="1" xfId="1" applyFont="1" applyAlignment="1" applyProtection="1">
      <alignment horizontal="center" vertical="center"/>
      <protection locked="0"/>
    </xf>
    <xf numFmtId="0" fontId="65" fillId="0" borderId="1" xfId="1" applyFont="1" applyAlignment="1" applyProtection="1">
      <alignment horizontal="center"/>
      <protection locked="0"/>
    </xf>
    <xf numFmtId="171" fontId="8" fillId="0" borderId="1" xfId="0" applyNumberFormat="1" applyFont="1" applyBorder="1" applyAlignment="1" applyProtection="1">
      <alignment horizontal="center" vertical="center" wrapText="1"/>
      <protection locked="0"/>
    </xf>
    <xf numFmtId="9" fontId="16" fillId="0" borderId="1" xfId="3" applyFont="1" applyBorder="1" applyAlignment="1" applyProtection="1">
      <alignment horizontal="center"/>
      <protection locked="0"/>
    </xf>
    <xf numFmtId="0" fontId="63" fillId="0" borderId="1" xfId="0" applyFont="1" applyBorder="1" applyAlignment="1" applyProtection="1">
      <alignment vertical="top" wrapText="1"/>
      <protection locked="0"/>
    </xf>
    <xf numFmtId="0" fontId="66" fillId="0" borderId="1" xfId="0" applyFont="1" applyBorder="1" applyAlignment="1" applyProtection="1">
      <alignment horizontal="left" vertical="top" wrapText="1"/>
      <protection locked="0"/>
    </xf>
    <xf numFmtId="166" fontId="16" fillId="0" borderId="1" xfId="0" applyNumberFormat="1" applyFont="1" applyBorder="1" applyAlignment="1" applyProtection="1">
      <alignment horizontal="center" vertical="center"/>
      <protection locked="0"/>
    </xf>
    <xf numFmtId="3" fontId="16" fillId="0" borderId="1" xfId="0" applyNumberFormat="1" applyFont="1" applyBorder="1" applyAlignment="1" applyProtection="1">
      <alignment horizontal="center" vertical="center" wrapText="1"/>
      <protection locked="0"/>
    </xf>
    <xf numFmtId="1" fontId="63" fillId="0" borderId="1" xfId="0" applyNumberFormat="1" applyFont="1" applyBorder="1" applyAlignment="1" applyProtection="1">
      <alignment horizontal="center" vertical="center"/>
      <protection locked="0"/>
    </xf>
    <xf numFmtId="1" fontId="16" fillId="0" borderId="1" xfId="0" applyNumberFormat="1" applyFont="1" applyBorder="1" applyAlignment="1" applyProtection="1">
      <alignment horizontal="center" vertical="center"/>
      <protection locked="0"/>
    </xf>
    <xf numFmtId="0" fontId="0" fillId="0" borderId="0" xfId="0" applyAlignment="1">
      <alignment horizontal="left"/>
    </xf>
    <xf numFmtId="0" fontId="2" fillId="2" borderId="0" xfId="0" applyFont="1" applyFill="1" applyAlignment="1">
      <alignment horizontal="center"/>
    </xf>
    <xf numFmtId="0" fontId="0" fillId="0" borderId="2" xfId="0" applyBorder="1" applyAlignment="1">
      <alignment horizontal="left"/>
    </xf>
    <xf numFmtId="0" fontId="4"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2" xfId="0" applyBorder="1" applyAlignment="1">
      <alignment horizontal="left" vertical="top"/>
    </xf>
    <xf numFmtId="0" fontId="8" fillId="0" borderId="0" xfId="0" applyFont="1" applyAlignment="1">
      <alignment horizontal="lef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23" fillId="0" borderId="0" xfId="2" applyFont="1" applyAlignment="1">
      <alignment horizontal="left" vertical="center" wrapText="1"/>
    </xf>
    <xf numFmtId="0" fontId="33" fillId="0" borderId="0" xfId="2" applyFont="1" applyAlignment="1">
      <alignment horizontal="left" vertical="center" wrapText="1"/>
    </xf>
    <xf numFmtId="0" fontId="21" fillId="0" borderId="0" xfId="0" applyFont="1" applyAlignment="1">
      <alignment horizontal="left" vertical="center" wrapText="1" indent="18"/>
    </xf>
    <xf numFmtId="0" fontId="23" fillId="0" borderId="0" xfId="2" applyFont="1" applyAlignment="1">
      <alignment horizontal="left" vertical="top" wrapText="1"/>
    </xf>
    <xf numFmtId="0" fontId="4" fillId="2" borderId="0" xfId="0" applyFont="1" applyFill="1" applyAlignment="1">
      <alignment horizontal="center"/>
    </xf>
    <xf numFmtId="0" fontId="18" fillId="0" borderId="0" xfId="1" applyFont="1" applyBorder="1" applyProtection="1">
      <protection locked="0"/>
    </xf>
    <xf numFmtId="0" fontId="22" fillId="5" borderId="7"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5" borderId="5" xfId="0" applyFont="1" applyFill="1" applyBorder="1" applyAlignment="1">
      <alignment horizontal="center"/>
    </xf>
    <xf numFmtId="0" fontId="22" fillId="5" borderId="6" xfId="0" applyFont="1" applyFill="1" applyBorder="1" applyAlignment="1">
      <alignment horizontal="center"/>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7" fillId="0" borderId="0" xfId="0" applyFont="1" applyAlignment="1">
      <alignment horizontal="left" vertical="top" wrapText="1"/>
    </xf>
    <xf numFmtId="0" fontId="17" fillId="0" borderId="0" xfId="0" applyFont="1" applyAlignment="1">
      <alignment horizontal="center" vertical="top" wrapText="1"/>
    </xf>
    <xf numFmtId="0" fontId="16" fillId="0" borderId="0" xfId="0" applyFont="1" applyAlignment="1">
      <alignment horizontal="left" vertical="top" wrapText="1"/>
    </xf>
    <xf numFmtId="0" fontId="3" fillId="0" borderId="0" xfId="1" applyBorder="1" applyAlignment="1" applyProtection="1">
      <alignment horizontal="left" vertical="top" wrapText="1"/>
      <protection locked="0"/>
    </xf>
    <xf numFmtId="0" fontId="28" fillId="0" borderId="0" xfId="0" applyFont="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0" fillId="0" borderId="1" xfId="0" applyBorder="1" applyAlignment="1">
      <alignment horizontal="left" vertical="top" wrapText="1"/>
    </xf>
    <xf numFmtId="0" fontId="12" fillId="5" borderId="7" xfId="0" applyFont="1" applyFill="1" applyBorder="1" applyAlignment="1">
      <alignment horizontal="center"/>
    </xf>
    <xf numFmtId="0" fontId="0" fillId="0" borderId="1" xfId="0" applyBorder="1" applyAlignment="1">
      <alignment horizontal="left" vertical="center" wrapText="1"/>
    </xf>
    <xf numFmtId="0" fontId="1" fillId="0" borderId="1" xfId="0" applyFont="1" applyBorder="1" applyAlignment="1">
      <alignment horizontal="right" vertical="center" wrapText="1"/>
    </xf>
    <xf numFmtId="0" fontId="15" fillId="0" borderId="1" xfId="0" applyFont="1" applyBorder="1" applyAlignment="1">
      <alignment horizontal="left" vertical="top" wrapText="1"/>
    </xf>
    <xf numFmtId="0" fontId="15" fillId="0" borderId="4" xfId="0" applyFont="1" applyBorder="1" applyAlignment="1">
      <alignment horizontal="left" vertical="top" wrapText="1"/>
    </xf>
    <xf numFmtId="0" fontId="8" fillId="0" borderId="1" xfId="0" applyFont="1" applyBorder="1" applyAlignment="1">
      <alignment horizontal="left" vertical="top" wrapText="1"/>
    </xf>
    <xf numFmtId="0" fontId="8" fillId="0" borderId="4" xfId="0" applyFont="1" applyBorder="1" applyAlignment="1">
      <alignment horizontal="left" vertical="top" wrapText="1"/>
    </xf>
    <xf numFmtId="1" fontId="7" fillId="0" borderId="0" xfId="0" applyNumberFormat="1" applyFont="1" applyAlignment="1">
      <alignment horizontal="right" vertical="center" wrapText="1"/>
    </xf>
    <xf numFmtId="1" fontId="7" fillId="0" borderId="15" xfId="0" applyNumberFormat="1" applyFont="1" applyBorder="1" applyAlignment="1">
      <alignment horizontal="right" vertical="center" wrapText="1"/>
    </xf>
    <xf numFmtId="0" fontId="32" fillId="0" borderId="1" xfId="0" applyFont="1" applyBorder="1" applyAlignment="1">
      <alignment horizontal="left" vertical="top" wrapText="1"/>
    </xf>
    <xf numFmtId="0" fontId="1" fillId="0" borderId="0" xfId="0" applyFont="1" applyAlignment="1">
      <alignment horizontal="center" vertical="top" wrapText="1"/>
    </xf>
    <xf numFmtId="0" fontId="1" fillId="0" borderId="1" xfId="0" applyFont="1" applyBorder="1" applyAlignment="1">
      <alignment horizontal="right" vertical="top" wrapText="1"/>
    </xf>
    <xf numFmtId="0" fontId="16" fillId="0" borderId="0" xfId="0" applyFont="1" applyAlignment="1">
      <alignment horizontal="left" vertical="center" wrapText="1" indent="4"/>
    </xf>
    <xf numFmtId="0" fontId="0" fillId="0" borderId="0" xfId="0" applyAlignment="1">
      <alignment horizontal="left" vertical="top" wrapText="1" indent="4"/>
    </xf>
    <xf numFmtId="0" fontId="35" fillId="0" borderId="0" xfId="0" applyFont="1" applyAlignment="1">
      <alignment horizontal="left" vertical="top" wrapText="1"/>
    </xf>
    <xf numFmtId="0" fontId="16" fillId="0" borderId="0" xfId="0" applyFont="1" applyAlignment="1">
      <alignment vertical="top" wrapText="1"/>
    </xf>
    <xf numFmtId="0" fontId="0" fillId="0" borderId="0" xfId="0" applyAlignment="1">
      <alignment horizontal="left" vertical="center" indent="4"/>
    </xf>
    <xf numFmtId="0" fontId="5"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6" fillId="0" borderId="0" xfId="0" applyFont="1" applyAlignment="1">
      <alignment horizontal="left" vertical="top" wrapText="1" indent="4"/>
    </xf>
    <xf numFmtId="0" fontId="5" fillId="0" borderId="0" xfId="0" applyFont="1" applyAlignment="1">
      <alignment horizontal="center" vertical="center" wrapText="1"/>
    </xf>
    <xf numFmtId="0" fontId="0" fillId="0" borderId="0" xfId="0" applyAlignment="1">
      <alignment horizontal="right"/>
    </xf>
    <xf numFmtId="0" fontId="40" fillId="0" borderId="0" xfId="0" applyFont="1" applyAlignment="1">
      <alignment horizontal="center" wrapText="1"/>
    </xf>
    <xf numFmtId="0" fontId="2" fillId="2" borderId="0" xfId="0" applyFont="1" applyFill="1" applyAlignment="1">
      <alignment horizontal="center" vertical="center"/>
    </xf>
    <xf numFmtId="0" fontId="1" fillId="0" borderId="0" xfId="0" applyFont="1" applyAlignment="1">
      <alignment horizontal="left" vertical="top" wrapText="1"/>
    </xf>
    <xf numFmtId="0" fontId="42" fillId="0" borderId="0" xfId="0" applyFont="1" applyAlignment="1">
      <alignment horizontal="left" vertical="top" wrapText="1"/>
    </xf>
    <xf numFmtId="0" fontId="44" fillId="0" borderId="0" xfId="0" applyFont="1" applyAlignment="1">
      <alignment horizontal="left" vertical="top" wrapText="1"/>
    </xf>
    <xf numFmtId="0" fontId="44" fillId="0" borderId="0" xfId="0" applyFont="1" applyAlignment="1">
      <alignment horizontal="left" vertical="top"/>
    </xf>
    <xf numFmtId="0" fontId="5" fillId="0" borderId="0" xfId="0" applyFont="1" applyAlignment="1">
      <alignment horizontal="center" vertical="top" wrapText="1"/>
    </xf>
    <xf numFmtId="0" fontId="0" fillId="0" borderId="2" xfId="0" applyBorder="1" applyAlignment="1">
      <alignment horizontal="right"/>
    </xf>
    <xf numFmtId="0" fontId="48" fillId="0" borderId="0" xfId="0" applyFont="1" applyAlignment="1">
      <alignment horizontal="left" vertical="top" indent="5"/>
    </xf>
    <xf numFmtId="0" fontId="50" fillId="0" borderId="0" xfId="0" applyFont="1" applyAlignment="1">
      <alignment horizontal="left" vertical="top" wrapText="1" indent="5"/>
    </xf>
    <xf numFmtId="0" fontId="47" fillId="0" borderId="0" xfId="0" applyFont="1" applyAlignment="1">
      <alignment horizontal="center" vertical="center"/>
    </xf>
    <xf numFmtId="0" fontId="1" fillId="0" borderId="1" xfId="0" applyFont="1" applyBorder="1" applyAlignment="1">
      <alignment horizontal="center" vertical="center"/>
    </xf>
    <xf numFmtId="0" fontId="0" fillId="0" borderId="0" xfId="0" applyAlignment="1">
      <alignment horizontal="left" vertical="top" indent="5"/>
    </xf>
    <xf numFmtId="0" fontId="0" fillId="0" borderId="0" xfId="0" applyAlignment="1">
      <alignment horizontal="left" vertical="top" wrapText="1" indent="5"/>
    </xf>
    <xf numFmtId="0" fontId="49" fillId="0" borderId="1" xfId="0" applyFont="1" applyBorder="1" applyAlignment="1">
      <alignment horizontal="center" vertical="center" wrapText="1"/>
    </xf>
    <xf numFmtId="0" fontId="2" fillId="0" borderId="7" xfId="0" applyFont="1" applyBorder="1" applyAlignment="1">
      <alignment horizontal="center" vertical="center"/>
    </xf>
    <xf numFmtId="0" fontId="0" fillId="0" borderId="0" xfId="0" applyAlignment="1">
      <alignment horizontal="left" indent="5"/>
    </xf>
    <xf numFmtId="0" fontId="0" fillId="0" borderId="1" xfId="0" applyBorder="1" applyAlignment="1">
      <alignment horizontal="center" vertical="center" wrapText="1"/>
    </xf>
    <xf numFmtId="0" fontId="0" fillId="0" borderId="1" xfId="0" applyBorder="1" applyAlignment="1">
      <alignment horizontal="center"/>
    </xf>
    <xf numFmtId="0" fontId="53" fillId="0" borderId="0" xfId="0" applyFont="1" applyAlignment="1">
      <alignment horizontal="justify" vertical="center" wrapText="1"/>
    </xf>
    <xf numFmtId="0" fontId="53" fillId="0" borderId="0" xfId="0" applyFont="1" applyAlignment="1">
      <alignment horizontal="justify" vertical="center"/>
    </xf>
    <xf numFmtId="0" fontId="53" fillId="0" borderId="0" xfId="0" applyFont="1" applyAlignment="1">
      <alignment horizontal="left" vertical="top" wrapText="1"/>
    </xf>
    <xf numFmtId="0" fontId="0" fillId="0" borderId="0" xfId="0" applyAlignment="1">
      <alignment horizontal="center" vertical="top" wrapText="1"/>
    </xf>
    <xf numFmtId="0" fontId="0" fillId="0" borderId="1" xfId="0" applyBorder="1" applyAlignment="1">
      <alignment horizontal="center" vertical="center"/>
    </xf>
    <xf numFmtId="0" fontId="55" fillId="4" borderId="0" xfId="0" applyFont="1" applyFill="1" applyAlignment="1">
      <alignment horizontal="center" vertical="center" wrapText="1"/>
    </xf>
    <xf numFmtId="0" fontId="16" fillId="0" borderId="0" xfId="0" applyFont="1" applyAlignment="1">
      <alignment vertical="center" wrapText="1"/>
    </xf>
    <xf numFmtId="0" fontId="28" fillId="0" borderId="0" xfId="0" applyFont="1" applyAlignment="1">
      <alignment horizontal="justify" vertical="center" wrapText="1"/>
    </xf>
    <xf numFmtId="0" fontId="16" fillId="0" borderId="0" xfId="0" applyFont="1" applyAlignment="1">
      <alignment horizontal="justify" vertical="center" wrapText="1"/>
    </xf>
    <xf numFmtId="0" fontId="16" fillId="0" borderId="0" xfId="0" applyFont="1" applyAlignment="1">
      <alignment horizontal="left" vertical="center" wrapText="1"/>
    </xf>
    <xf numFmtId="0" fontId="28" fillId="0" borderId="0" xfId="0" applyFont="1" applyAlignment="1">
      <alignment horizontal="left" vertical="center" wrapText="1"/>
    </xf>
    <xf numFmtId="0" fontId="3" fillId="0" borderId="1" xfId="1" applyAlignment="1" applyProtection="1">
      <alignment horizontal="center" wrapText="1"/>
      <protection locked="0"/>
    </xf>
    <xf numFmtId="0" fontId="1" fillId="0" borderId="0" xfId="0" applyFont="1" applyAlignment="1">
      <alignment horizontal="left" vertical="center" wrapText="1"/>
    </xf>
    <xf numFmtId="0" fontId="53" fillId="0" borderId="0" xfId="0" applyFont="1" applyAlignment="1">
      <alignment horizontal="left" vertical="center" wrapText="1"/>
    </xf>
  </cellXfs>
  <cellStyles count="7">
    <cellStyle name="Bad" xfId="5" builtinId="27"/>
    <cellStyle name="Comma" xfId="6" builtinId="3"/>
    <cellStyle name="Currency" xfId="4" builtinId="4"/>
    <cellStyle name="Hyperlink" xfId="1" builtinId="8"/>
    <cellStyle name="Normal" xfId="0" builtinId="0"/>
    <cellStyle name="Normal 2" xfId="2" xr:uid="{081B8005-58DB-764A-93D5-6F24C4E610F7}"/>
    <cellStyle name="Percent" xfId="3" builtinId="5"/>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fmlaLink="'multi select'!$A$2" lockText="1" noThreeD="1"/>
</file>

<file path=xl/ctrlProps/ctrlProp10.xml><?xml version="1.0" encoding="utf-8"?>
<formControlPr xmlns="http://schemas.microsoft.com/office/spreadsheetml/2009/9/main" objectType="CheckBox"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checked="Checked"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checked="Checked"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checked="Checked"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checked="Checked" fmlaLink="'multi select'!$AN$8" lockText="1" noThreeD="1"/>
</file>

<file path=xl/ctrlProps/ctrlProp121.xml><?xml version="1.0" encoding="utf-8"?>
<formControlPr xmlns="http://schemas.microsoft.com/office/spreadsheetml/2009/9/main" objectType="CheckBox" checked="Checked"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checked="Checked" fmlaLink="'multi select'!$AP$9" lockText="1" noThreeD="1"/>
</file>

<file path=xl/ctrlProps/ctrlProp13.xml><?xml version="1.0" encoding="utf-8"?>
<formControlPr xmlns="http://schemas.microsoft.com/office/spreadsheetml/2009/9/main" objectType="CheckBox"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checked="Checked" fmlaLink="'multi select'!$AR$4" lockText="1" noThreeD="1"/>
</file>

<file path=xl/ctrlProps/ctrlProp133.xml><?xml version="1.0" encoding="utf-8"?>
<formControlPr xmlns="http://schemas.microsoft.com/office/spreadsheetml/2009/9/main" objectType="CheckBox"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fmlaLink="'multi select'!$AR$7" lockText="1" noThreeD="1"/>
</file>

<file path=xl/ctrlProps/ctrlProp136.xml><?xml version="1.0" encoding="utf-8"?>
<formControlPr xmlns="http://schemas.microsoft.com/office/spreadsheetml/2009/9/main" objectType="CheckBox" checked="Checked"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checked="Checked"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fmlaLink="'multi select'!$AR$12" lockText="1" noThreeD="1"/>
</file>

<file path=xl/ctrlProps/ctrlProp141.xml><?xml version="1.0" encoding="utf-8"?>
<formControlPr xmlns="http://schemas.microsoft.com/office/spreadsheetml/2009/9/main" objectType="CheckBox" checked="Checked"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checked="Checked"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checked="Checked"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checked="Checked"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fmlaLink="'multi select'!$P$4" lockText="1" noThreeD="1"/>
</file>

<file path=xl/ctrlProps/ctrlProp33.xml><?xml version="1.0" encoding="utf-8"?>
<formControlPr xmlns="http://schemas.microsoft.com/office/spreadsheetml/2009/9/main" objectType="CheckBox"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checked="Checked" fmlaLink="'multi select'!$P$20" lockText="1" noThreeD="1"/>
</file>

<file path=xl/ctrlProps/ctrlProp49.xml><?xml version="1.0" encoding="utf-8"?>
<formControlPr xmlns="http://schemas.microsoft.com/office/spreadsheetml/2009/9/main" objectType="CheckBox"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fmlaLink="'multi select'!$T$4" lockText="1" noThreeD="1"/>
</file>

<file path=xl/ctrlProps/ctrlProp52.xml><?xml version="1.0" encoding="utf-8"?>
<formControlPr xmlns="http://schemas.microsoft.com/office/spreadsheetml/2009/9/main" objectType="CheckBox" fmlaLink="'multi select'!$T$5" lockText="1" noThreeD="1"/>
</file>

<file path=xl/ctrlProps/ctrlProp53.xml><?xml version="1.0" encoding="utf-8"?>
<formControlPr xmlns="http://schemas.microsoft.com/office/spreadsheetml/2009/9/main" objectType="CheckBox"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fmlaLink="'multi select'!$T$13" lockText="1" noThreeD="1"/>
</file>

<file path=xl/ctrlProps/ctrlProp61.xml><?xml version="1.0" encoding="utf-8"?>
<formControlPr xmlns="http://schemas.microsoft.com/office/spreadsheetml/2009/9/main" objectType="CheckBox" checked="Checked"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fmlaLink="'multi select'!$A$8" lockText="1" noThreeD="1"/>
</file>

<file path=xl/ctrlProps/ctrlProp70.xml><?xml version="1.0" encoding="utf-8"?>
<formControlPr xmlns="http://schemas.microsoft.com/office/spreadsheetml/2009/9/main" objectType="CheckBox"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fmlaLink="'multi select'!$AA$2" lockText="1" noThreeD="1"/>
</file>

<file path=xl/ctrlProps/ctrlProp76.xml><?xml version="1.0" encoding="utf-8"?>
<formControlPr xmlns="http://schemas.microsoft.com/office/spreadsheetml/2009/9/main" objectType="CheckBox" checked="Checked"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fmlaLink="'multi select'!$AD$7" lockText="1" noThreeD="1"/>
</file>

<file path=xl/ctrlProps/ctrlProp88.xml><?xml version="1.0" encoding="utf-8"?>
<formControlPr xmlns="http://schemas.microsoft.com/office/spreadsheetml/2009/9/main" objectType="CheckBox" checked="Checked"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checked="Checked"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checked="Checked"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177800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5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78</xdr:row>
          <xdr:rowOff>177800</xdr:rowOff>
        </xdr:from>
        <xdr:to>
          <xdr:col>1</xdr:col>
          <xdr:colOff>1244600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5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80</xdr:row>
          <xdr:rowOff>177800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5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82</xdr:row>
          <xdr:rowOff>177800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5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84</xdr:row>
          <xdr:rowOff>190500</xdr:rowOff>
        </xdr:from>
        <xdr:to>
          <xdr:col>1</xdr:col>
          <xdr:colOff>1257300</xdr:colOff>
          <xdr:row>86</xdr:row>
          <xdr:rowOff>88900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5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86</xdr:row>
          <xdr:rowOff>177800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5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88</xdr:row>
          <xdr:rowOff>165100</xdr:rowOff>
        </xdr:from>
        <xdr:to>
          <xdr:col>1</xdr:col>
          <xdr:colOff>1257300</xdr:colOff>
          <xdr:row>90</xdr:row>
          <xdr:rowOff>63500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5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76</xdr:row>
          <xdr:rowOff>177800</xdr:rowOff>
        </xdr:from>
        <xdr:to>
          <xdr:col>3</xdr:col>
          <xdr:colOff>1257300</xdr:colOff>
          <xdr:row>78</xdr:row>
          <xdr:rowOff>63500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5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78</xdr:row>
          <xdr:rowOff>165100</xdr:rowOff>
        </xdr:from>
        <xdr:to>
          <xdr:col>3</xdr:col>
          <xdr:colOff>1270000</xdr:colOff>
          <xdr:row>80</xdr:row>
          <xdr:rowOff>63500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5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80</xdr:row>
          <xdr:rowOff>165100</xdr:rowOff>
        </xdr:from>
        <xdr:to>
          <xdr:col>3</xdr:col>
          <xdr:colOff>2921000</xdr:colOff>
          <xdr:row>82</xdr:row>
          <xdr:rowOff>63500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5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82</xdr:row>
          <xdr:rowOff>165100</xdr:rowOff>
        </xdr:from>
        <xdr:to>
          <xdr:col>3</xdr:col>
          <xdr:colOff>2959100</xdr:colOff>
          <xdr:row>84</xdr:row>
          <xdr:rowOff>63500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5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3111500</xdr:colOff>
          <xdr:row>86</xdr:row>
          <xdr:rowOff>50800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5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7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127000</xdr:colOff>
          <xdr:row>133</xdr:row>
          <xdr:rowOff>114300</xdr:rowOff>
        </xdr:from>
        <xdr:to>
          <xdr:col>0</xdr:col>
          <xdr:colOff>1651000</xdr:colOff>
          <xdr:row>135</xdr:row>
          <xdr:rowOff>88900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7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135</xdr:row>
          <xdr:rowOff>101600</xdr:rowOff>
        </xdr:from>
        <xdr:to>
          <xdr:col>0</xdr:col>
          <xdr:colOff>1651000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7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137</xdr:row>
          <xdr:rowOff>114300</xdr:rowOff>
        </xdr:from>
        <xdr:to>
          <xdr:col>0</xdr:col>
          <xdr:colOff>1663700</xdr:colOff>
          <xdr:row>139</xdr:row>
          <xdr:rowOff>88900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7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88900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7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4483100</xdr:colOff>
          <xdr:row>137</xdr:row>
          <xdr:rowOff>88900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7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2146300</xdr:colOff>
          <xdr:row>137</xdr:row>
          <xdr:rowOff>127000</xdr:rowOff>
        </xdr:from>
        <xdr:to>
          <xdr:col>0</xdr:col>
          <xdr:colOff>4025900</xdr:colOff>
          <xdr:row>139</xdr:row>
          <xdr:rowOff>101600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7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444500</xdr:colOff>
          <xdr:row>64</xdr:row>
          <xdr:rowOff>342900</xdr:rowOff>
        </xdr:from>
        <xdr:to>
          <xdr:col>6</xdr:col>
          <xdr:colOff>368300</xdr:colOff>
          <xdr:row>66</xdr:row>
          <xdr:rowOff>88900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Fall Rolling Admission</a:t>
              </a:r>
            </a:p>
            <a:p>
              <a:pPr algn="l" rtl="0">
                <a:defRPr sz="1000"/>
              </a:pPr>
              <a:r>
                <a:rPr lang="en-US" sz="1300" b="0" i="0" u="none" strike="noStrike" baseline="0">
                  <a:solidFill>
                    <a:srgbClr val="000000"/>
                  </a:solidFill>
                  <a:latin typeface="Lucida Grande" pitchFamily="2" charset="0"/>
                  <a:cs typeface="Lucida Grande" pitchFamily="2" charset="0"/>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66</xdr:row>
          <xdr:rowOff>114300</xdr:rowOff>
        </xdr:from>
        <xdr:to>
          <xdr:col>6</xdr:col>
          <xdr:colOff>355600</xdr:colOff>
          <xdr:row>68</xdr:row>
          <xdr:rowOff>88900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8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Winter Rolling Admission</a:t>
              </a:r>
            </a:p>
            <a:p>
              <a:pPr algn="l" rtl="0">
                <a:defRPr sz="1000"/>
              </a:pPr>
              <a:r>
                <a:rPr lang="en-US" sz="1300" b="0" i="0" u="none" strike="noStrike" baseline="0">
                  <a:solidFill>
                    <a:srgbClr val="000000"/>
                  </a:solidFill>
                  <a:latin typeface="Lucida Grande" pitchFamily="2" charset="0"/>
                  <a:cs typeface="Lucida Grande" pitchFamily="2" charset="0"/>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68</xdr:row>
          <xdr:rowOff>101600</xdr:rowOff>
        </xdr:from>
        <xdr:to>
          <xdr:col>6</xdr:col>
          <xdr:colOff>355600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8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70</xdr:row>
          <xdr:rowOff>127000</xdr:rowOff>
        </xdr:from>
        <xdr:to>
          <xdr:col>6</xdr:col>
          <xdr:colOff>355600</xdr:colOff>
          <xdr:row>72</xdr:row>
          <xdr:rowOff>101600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111</xdr:row>
          <xdr:rowOff>114300</xdr:rowOff>
        </xdr:from>
        <xdr:to>
          <xdr:col>4</xdr:col>
          <xdr:colOff>139700</xdr:colOff>
          <xdr:row>113</xdr:row>
          <xdr:rowOff>88900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8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111</xdr:row>
          <xdr:rowOff>127000</xdr:rowOff>
        </xdr:from>
        <xdr:to>
          <xdr:col>6</xdr:col>
          <xdr:colOff>685800</xdr:colOff>
          <xdr:row>113</xdr:row>
          <xdr:rowOff>101600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8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101600</xdr:rowOff>
        </xdr:from>
        <xdr:to>
          <xdr:col>4</xdr:col>
          <xdr:colOff>673100</xdr:colOff>
          <xdr:row>115</xdr:row>
          <xdr:rowOff>88900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8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444500</xdr:colOff>
          <xdr:row>21</xdr:row>
          <xdr:rowOff>190500</xdr:rowOff>
        </xdr:from>
        <xdr:to>
          <xdr:col>2</xdr:col>
          <xdr:colOff>0</xdr:colOff>
          <xdr:row>23</xdr:row>
          <xdr:rowOff>165100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8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12700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8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177800</xdr:rowOff>
        </xdr:from>
        <xdr:to>
          <xdr:col>4</xdr:col>
          <xdr:colOff>520700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8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749300</xdr:colOff>
          <xdr:row>24</xdr:row>
          <xdr:rowOff>63500</xdr:rowOff>
        </xdr:from>
        <xdr:to>
          <xdr:col>4</xdr:col>
          <xdr:colOff>520700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8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127000</xdr:rowOff>
        </xdr:from>
        <xdr:to>
          <xdr:col>1</xdr:col>
          <xdr:colOff>825500</xdr:colOff>
          <xdr:row>7</xdr:row>
          <xdr:rowOff>101600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9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Accelerated program</a:t>
              </a: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7</xdr:row>
          <xdr:rowOff>88900</xdr:rowOff>
        </xdr:from>
        <xdr:to>
          <xdr:col>2</xdr:col>
          <xdr:colOff>927100</xdr:colOff>
          <xdr:row>9</xdr:row>
          <xdr:rowOff>165100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9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Comprehensive transition and postsecondary program for students with intellectual disabilities</a:t>
              </a: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177800</xdr:rowOff>
        </xdr:from>
        <xdr:to>
          <xdr:col>1</xdr:col>
          <xdr:colOff>1079500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9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Cross-regristration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698500</xdr:colOff>
          <xdr:row>13</xdr:row>
          <xdr:rowOff>127000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9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139700</xdr:rowOff>
        </xdr:from>
        <xdr:to>
          <xdr:col>1</xdr:col>
          <xdr:colOff>317500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9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317500</xdr:colOff>
          <xdr:row>17</xdr:row>
          <xdr:rowOff>88900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9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101600</xdr:rowOff>
        </xdr:from>
        <xdr:to>
          <xdr:col>1</xdr:col>
          <xdr:colOff>1358900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9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139700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9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165100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9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5</xdr:row>
          <xdr:rowOff>127000</xdr:rowOff>
        </xdr:from>
        <xdr:to>
          <xdr:col>3</xdr:col>
          <xdr:colOff>1993900</xdr:colOff>
          <xdr:row>7</xdr:row>
          <xdr:rowOff>101600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9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165100</xdr:rowOff>
        </xdr:from>
        <xdr:to>
          <xdr:col>3</xdr:col>
          <xdr:colOff>1739900</xdr:colOff>
          <xdr:row>9</xdr:row>
          <xdr:rowOff>139700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9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9</xdr:row>
          <xdr:rowOff>165100</xdr:rowOff>
        </xdr:from>
        <xdr:to>
          <xdr:col>3</xdr:col>
          <xdr:colOff>1511300</xdr:colOff>
          <xdr:row>11</xdr:row>
          <xdr:rowOff>139700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9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11</xdr:row>
          <xdr:rowOff>152400</xdr:rowOff>
        </xdr:from>
        <xdr:to>
          <xdr:col>3</xdr:col>
          <xdr:colOff>2705100</xdr:colOff>
          <xdr:row>13</xdr:row>
          <xdr:rowOff>127000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9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13</xdr:row>
          <xdr:rowOff>139700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9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15</xdr:row>
          <xdr:rowOff>127000</xdr:rowOff>
        </xdr:from>
        <xdr:to>
          <xdr:col>3</xdr:col>
          <xdr:colOff>1511300</xdr:colOff>
          <xdr:row>17</xdr:row>
          <xdr:rowOff>101600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9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17</xdr:row>
          <xdr:rowOff>139700</xdr:rowOff>
        </xdr:from>
        <xdr:to>
          <xdr:col>3</xdr:col>
          <xdr:colOff>2768600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9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19</xdr:row>
          <xdr:rowOff>152400</xdr:rowOff>
        </xdr:from>
        <xdr:to>
          <xdr:col>3</xdr:col>
          <xdr:colOff>2552700</xdr:colOff>
          <xdr:row>21</xdr:row>
          <xdr:rowOff>127000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9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21</xdr:row>
          <xdr:rowOff>165100</xdr:rowOff>
        </xdr:from>
        <xdr:to>
          <xdr:col>3</xdr:col>
          <xdr:colOff>1511300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9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23</xdr:row>
          <xdr:rowOff>63500</xdr:rowOff>
        </xdr:from>
        <xdr:to>
          <xdr:col>3</xdr:col>
          <xdr:colOff>1498600</xdr:colOff>
          <xdr:row>24</xdr:row>
          <xdr:rowOff>241300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9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31</xdr:row>
          <xdr:rowOff>114300</xdr:rowOff>
        </xdr:from>
        <xdr:to>
          <xdr:col>1</xdr:col>
          <xdr:colOff>254000</xdr:colOff>
          <xdr:row>33</xdr:row>
          <xdr:rowOff>88900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9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33</xdr:row>
          <xdr:rowOff>114300</xdr:rowOff>
        </xdr:from>
        <xdr:to>
          <xdr:col>1</xdr:col>
          <xdr:colOff>266700</xdr:colOff>
          <xdr:row>35</xdr:row>
          <xdr:rowOff>88900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9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35</xdr:row>
          <xdr:rowOff>127000</xdr:rowOff>
        </xdr:from>
        <xdr:to>
          <xdr:col>1</xdr:col>
          <xdr:colOff>1003300</xdr:colOff>
          <xdr:row>37</xdr:row>
          <xdr:rowOff>101600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9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37</xdr:row>
          <xdr:rowOff>139700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9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39</xdr:row>
          <xdr:rowOff>114300</xdr:rowOff>
        </xdr:from>
        <xdr:to>
          <xdr:col>1</xdr:col>
          <xdr:colOff>266700</xdr:colOff>
          <xdr:row>41</xdr:row>
          <xdr:rowOff>88900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9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37</xdr:row>
          <xdr:rowOff>127000</xdr:rowOff>
        </xdr:from>
        <xdr:to>
          <xdr:col>2</xdr:col>
          <xdr:colOff>1663700</xdr:colOff>
          <xdr:row>39</xdr:row>
          <xdr:rowOff>101600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9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41</xdr:row>
          <xdr:rowOff>114300</xdr:rowOff>
        </xdr:from>
        <xdr:to>
          <xdr:col>1</xdr:col>
          <xdr:colOff>266700</xdr:colOff>
          <xdr:row>43</xdr:row>
          <xdr:rowOff>88900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9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88900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9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33</xdr:row>
          <xdr:rowOff>127000</xdr:rowOff>
        </xdr:from>
        <xdr:to>
          <xdr:col>2</xdr:col>
          <xdr:colOff>1663700</xdr:colOff>
          <xdr:row>35</xdr:row>
          <xdr:rowOff>101600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9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35</xdr:row>
          <xdr:rowOff>127000</xdr:rowOff>
        </xdr:from>
        <xdr:to>
          <xdr:col>2</xdr:col>
          <xdr:colOff>1663700</xdr:colOff>
          <xdr:row>37</xdr:row>
          <xdr:rowOff>101600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9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39</xdr:row>
          <xdr:rowOff>127000</xdr:rowOff>
        </xdr:from>
        <xdr:to>
          <xdr:col>3</xdr:col>
          <xdr:colOff>1041400</xdr:colOff>
          <xdr:row>41</xdr:row>
          <xdr:rowOff>101600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9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127000</xdr:rowOff>
        </xdr:from>
        <xdr:to>
          <xdr:col>2</xdr:col>
          <xdr:colOff>1663700</xdr:colOff>
          <xdr:row>43</xdr:row>
          <xdr:rowOff>101600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9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43</xdr:row>
          <xdr:rowOff>114300</xdr:rowOff>
        </xdr:from>
        <xdr:to>
          <xdr:col>2</xdr:col>
          <xdr:colOff>1663700</xdr:colOff>
          <xdr:row>45</xdr:row>
          <xdr:rowOff>88900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9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1079500</xdr:colOff>
          <xdr:row>25</xdr:row>
          <xdr:rowOff>114300</xdr:rowOff>
        </xdr:from>
        <xdr:to>
          <xdr:col>0</xdr:col>
          <xdr:colOff>2603500</xdr:colOff>
          <xdr:row>27</xdr:row>
          <xdr:rowOff>88900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A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1079500</xdr:colOff>
          <xdr:row>27</xdr:row>
          <xdr:rowOff>114300</xdr:rowOff>
        </xdr:from>
        <xdr:to>
          <xdr:col>0</xdr:col>
          <xdr:colOff>2603500</xdr:colOff>
          <xdr:row>29</xdr:row>
          <xdr:rowOff>88900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A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29</xdr:row>
          <xdr:rowOff>114300</xdr:rowOff>
        </xdr:from>
        <xdr:to>
          <xdr:col>0</xdr:col>
          <xdr:colOff>2616200</xdr:colOff>
          <xdr:row>31</xdr:row>
          <xdr:rowOff>88900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A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31</xdr:row>
          <xdr:rowOff>114300</xdr:rowOff>
        </xdr:from>
        <xdr:to>
          <xdr:col>0</xdr:col>
          <xdr:colOff>2616200</xdr:colOff>
          <xdr:row>33</xdr:row>
          <xdr:rowOff>88900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A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33</xdr:row>
          <xdr:rowOff>114300</xdr:rowOff>
        </xdr:from>
        <xdr:to>
          <xdr:col>0</xdr:col>
          <xdr:colOff>2616200</xdr:colOff>
          <xdr:row>35</xdr:row>
          <xdr:rowOff>88900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A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35</xdr:row>
          <xdr:rowOff>114300</xdr:rowOff>
        </xdr:from>
        <xdr:to>
          <xdr:col>0</xdr:col>
          <xdr:colOff>3911600</xdr:colOff>
          <xdr:row>37</xdr:row>
          <xdr:rowOff>88900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A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37</xdr:row>
          <xdr:rowOff>114300</xdr:rowOff>
        </xdr:from>
        <xdr:to>
          <xdr:col>0</xdr:col>
          <xdr:colOff>3911600</xdr:colOff>
          <xdr:row>39</xdr:row>
          <xdr:rowOff>88900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A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25</xdr:row>
          <xdr:rowOff>114300</xdr:rowOff>
        </xdr:from>
        <xdr:to>
          <xdr:col>1</xdr:col>
          <xdr:colOff>1524000</xdr:colOff>
          <xdr:row>27</xdr:row>
          <xdr:rowOff>88900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A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27</xdr:row>
          <xdr:rowOff>127000</xdr:rowOff>
        </xdr:from>
        <xdr:to>
          <xdr:col>1</xdr:col>
          <xdr:colOff>1511300</xdr:colOff>
          <xdr:row>29</xdr:row>
          <xdr:rowOff>101600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A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29</xdr:row>
          <xdr:rowOff>127000</xdr:rowOff>
        </xdr:from>
        <xdr:to>
          <xdr:col>1</xdr:col>
          <xdr:colOff>1498600</xdr:colOff>
          <xdr:row>31</xdr:row>
          <xdr:rowOff>101600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A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31</xdr:row>
          <xdr:rowOff>114300</xdr:rowOff>
        </xdr:from>
        <xdr:to>
          <xdr:col>1</xdr:col>
          <xdr:colOff>1485900</xdr:colOff>
          <xdr:row>33</xdr:row>
          <xdr:rowOff>88900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A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33</xdr:row>
          <xdr:rowOff>114300</xdr:rowOff>
        </xdr:from>
        <xdr:to>
          <xdr:col>1</xdr:col>
          <xdr:colOff>1473200</xdr:colOff>
          <xdr:row>35</xdr:row>
          <xdr:rowOff>88900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A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35</xdr:row>
          <xdr:rowOff>127000</xdr:rowOff>
        </xdr:from>
        <xdr:to>
          <xdr:col>1</xdr:col>
          <xdr:colOff>1460500</xdr:colOff>
          <xdr:row>37</xdr:row>
          <xdr:rowOff>101600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A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1574800</xdr:colOff>
          <xdr:row>41</xdr:row>
          <xdr:rowOff>114300</xdr:rowOff>
        </xdr:from>
        <xdr:to>
          <xdr:col>0</xdr:col>
          <xdr:colOff>2768600</xdr:colOff>
          <xdr:row>43</xdr:row>
          <xdr:rowOff>88900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A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2984500</xdr:colOff>
          <xdr:row>41</xdr:row>
          <xdr:rowOff>114300</xdr:rowOff>
        </xdr:from>
        <xdr:to>
          <xdr:col>1</xdr:col>
          <xdr:colOff>1231900</xdr:colOff>
          <xdr:row>43</xdr:row>
          <xdr:rowOff>88900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A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88900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A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12700</xdr:colOff>
          <xdr:row>48</xdr:row>
          <xdr:rowOff>88900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A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114300</xdr:rowOff>
        </xdr:from>
        <xdr:to>
          <xdr:col>2</xdr:col>
          <xdr:colOff>787400</xdr:colOff>
          <xdr:row>48</xdr:row>
          <xdr:rowOff>88900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A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3060700</xdr:colOff>
          <xdr:row>53</xdr:row>
          <xdr:rowOff>88900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A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101600</xdr:rowOff>
        </xdr:from>
        <xdr:to>
          <xdr:col>2</xdr:col>
          <xdr:colOff>50800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A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58</xdr:row>
          <xdr:rowOff>127000</xdr:rowOff>
        </xdr:from>
        <xdr:to>
          <xdr:col>0</xdr:col>
          <xdr:colOff>3314700</xdr:colOff>
          <xdr:row>60</xdr:row>
          <xdr:rowOff>88900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A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60</xdr:row>
          <xdr:rowOff>127000</xdr:rowOff>
        </xdr:from>
        <xdr:to>
          <xdr:col>0</xdr:col>
          <xdr:colOff>3086100</xdr:colOff>
          <xdr:row>62</xdr:row>
          <xdr:rowOff>88900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A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62</xdr:row>
          <xdr:rowOff>114300</xdr:rowOff>
        </xdr:from>
        <xdr:to>
          <xdr:col>0</xdr:col>
          <xdr:colOff>1930400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A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64</xdr:row>
          <xdr:rowOff>127000</xdr:rowOff>
        </xdr:from>
        <xdr:to>
          <xdr:col>0</xdr:col>
          <xdr:colOff>1930400</xdr:colOff>
          <xdr:row>66</xdr:row>
          <xdr:rowOff>88900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A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66</xdr:row>
          <xdr:rowOff>127000</xdr:rowOff>
        </xdr:from>
        <xdr:to>
          <xdr:col>0</xdr:col>
          <xdr:colOff>2781300</xdr:colOff>
          <xdr:row>68</xdr:row>
          <xdr:rowOff>88900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A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2794000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A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58</xdr:row>
          <xdr:rowOff>114300</xdr:rowOff>
        </xdr:from>
        <xdr:to>
          <xdr:col>2</xdr:col>
          <xdr:colOff>711200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A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60</xdr:row>
          <xdr:rowOff>114300</xdr:rowOff>
        </xdr:from>
        <xdr:to>
          <xdr:col>2</xdr:col>
          <xdr:colOff>1498600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A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62</xdr:row>
          <xdr:rowOff>114300</xdr:rowOff>
        </xdr:from>
        <xdr:to>
          <xdr:col>2</xdr:col>
          <xdr:colOff>1498600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A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A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A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127000</xdr:rowOff>
        </xdr:from>
        <xdr:to>
          <xdr:col>0</xdr:col>
          <xdr:colOff>3568700</xdr:colOff>
          <xdr:row>72</xdr:row>
          <xdr:rowOff>88900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A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1460500</xdr:colOff>
          <xdr:row>39</xdr:row>
          <xdr:rowOff>88900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A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25</xdr:row>
          <xdr:rowOff>114300</xdr:rowOff>
        </xdr:from>
        <xdr:to>
          <xdr:col>3</xdr:col>
          <xdr:colOff>787400</xdr:colOff>
          <xdr:row>27</xdr:row>
          <xdr:rowOff>88900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A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27</xdr:row>
          <xdr:rowOff>114300</xdr:rowOff>
        </xdr:from>
        <xdr:to>
          <xdr:col>3</xdr:col>
          <xdr:colOff>774700</xdr:colOff>
          <xdr:row>29</xdr:row>
          <xdr:rowOff>88900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A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88900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A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101600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A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101600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A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35</xdr:row>
          <xdr:rowOff>127000</xdr:rowOff>
        </xdr:from>
        <xdr:to>
          <xdr:col>3</xdr:col>
          <xdr:colOff>812800</xdr:colOff>
          <xdr:row>37</xdr:row>
          <xdr:rowOff>101600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A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330200</xdr:colOff>
          <xdr:row>9</xdr:row>
          <xdr:rowOff>127000</xdr:rowOff>
        </xdr:from>
        <xdr:to>
          <xdr:col>2</xdr:col>
          <xdr:colOff>762000</xdr:colOff>
          <xdr:row>11</xdr:row>
          <xdr:rowOff>101600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B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2023-2024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1320800</xdr:colOff>
          <xdr:row>145</xdr:row>
          <xdr:rowOff>127000</xdr:rowOff>
        </xdr:from>
        <xdr:to>
          <xdr:col>2</xdr:col>
          <xdr:colOff>1384300</xdr:colOff>
          <xdr:row>147</xdr:row>
          <xdr:rowOff>101600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C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147</xdr:row>
          <xdr:rowOff>114300</xdr:rowOff>
        </xdr:from>
        <xdr:to>
          <xdr:col>2</xdr:col>
          <xdr:colOff>1384300</xdr:colOff>
          <xdr:row>149</xdr:row>
          <xdr:rowOff>88900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C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149</xdr:row>
          <xdr:rowOff>114300</xdr:rowOff>
        </xdr:from>
        <xdr:to>
          <xdr:col>2</xdr:col>
          <xdr:colOff>1384300</xdr:colOff>
          <xdr:row>151</xdr:row>
          <xdr:rowOff>88900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C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2032000</xdr:colOff>
          <xdr:row>162</xdr:row>
          <xdr:rowOff>88900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C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2044700</xdr:colOff>
          <xdr:row>164</xdr:row>
          <xdr:rowOff>88900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C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50800</xdr:rowOff>
        </xdr:from>
        <xdr:to>
          <xdr:col>1</xdr:col>
          <xdr:colOff>2032000</xdr:colOff>
          <xdr:row>165</xdr:row>
          <xdr:rowOff>228600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C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169</xdr:row>
          <xdr:rowOff>127000</xdr:rowOff>
        </xdr:from>
        <xdr:to>
          <xdr:col>1</xdr:col>
          <xdr:colOff>2019300</xdr:colOff>
          <xdr:row>171</xdr:row>
          <xdr:rowOff>101600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C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171</xdr:row>
          <xdr:rowOff>127000</xdr:rowOff>
        </xdr:from>
        <xdr:to>
          <xdr:col>1</xdr:col>
          <xdr:colOff>2032000</xdr:colOff>
          <xdr:row>173</xdr:row>
          <xdr:rowOff>101600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C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173</xdr:row>
          <xdr:rowOff>127000</xdr:rowOff>
        </xdr:from>
        <xdr:to>
          <xdr:col>1</xdr:col>
          <xdr:colOff>2806700</xdr:colOff>
          <xdr:row>175</xdr:row>
          <xdr:rowOff>101600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C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127000</xdr:rowOff>
        </xdr:from>
        <xdr:to>
          <xdr:col>4</xdr:col>
          <xdr:colOff>1130300</xdr:colOff>
          <xdr:row>171</xdr:row>
          <xdr:rowOff>101600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C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88900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C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101600</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C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2336800</xdr:colOff>
          <xdr:row>203</xdr:row>
          <xdr:rowOff>88900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C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203</xdr:row>
          <xdr:rowOff>101600</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C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205</xdr:row>
          <xdr:rowOff>114300</xdr:rowOff>
        </xdr:from>
        <xdr:to>
          <xdr:col>1</xdr:col>
          <xdr:colOff>2324100</xdr:colOff>
          <xdr:row>207</xdr:row>
          <xdr:rowOff>88900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C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207</xdr:row>
          <xdr:rowOff>114300</xdr:rowOff>
        </xdr:from>
        <xdr:to>
          <xdr:col>1</xdr:col>
          <xdr:colOff>2324100</xdr:colOff>
          <xdr:row>208</xdr:row>
          <xdr:rowOff>292100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C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201</xdr:row>
          <xdr:rowOff>114300</xdr:rowOff>
        </xdr:from>
        <xdr:to>
          <xdr:col>3</xdr:col>
          <xdr:colOff>1130300</xdr:colOff>
          <xdr:row>203</xdr:row>
          <xdr:rowOff>88900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C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203</xdr:row>
          <xdr:rowOff>101600</xdr:rowOff>
        </xdr:from>
        <xdr:to>
          <xdr:col>3</xdr:col>
          <xdr:colOff>1117600</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C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205</xdr:row>
          <xdr:rowOff>114300</xdr:rowOff>
        </xdr:from>
        <xdr:to>
          <xdr:col>4</xdr:col>
          <xdr:colOff>850900</xdr:colOff>
          <xdr:row>207</xdr:row>
          <xdr:rowOff>88900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C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207</xdr:row>
          <xdr:rowOff>101600</xdr:rowOff>
        </xdr:from>
        <xdr:to>
          <xdr:col>2</xdr:col>
          <xdr:colOff>1016000</xdr:colOff>
          <xdr:row>208</xdr:row>
          <xdr:rowOff>279400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C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212</xdr:row>
          <xdr:rowOff>101600</xdr:rowOff>
        </xdr:from>
        <xdr:to>
          <xdr:col>1</xdr:col>
          <xdr:colOff>1193800</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C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88900</xdr:rowOff>
        </xdr:from>
        <xdr:to>
          <xdr:col>1</xdr:col>
          <xdr:colOff>647700</xdr:colOff>
          <xdr:row>216</xdr:row>
          <xdr:rowOff>63500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C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216</xdr:row>
          <xdr:rowOff>101600</xdr:rowOff>
        </xdr:from>
        <xdr:to>
          <xdr:col>1</xdr:col>
          <xdr:colOff>1651000</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C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101600</xdr:rowOff>
        </xdr:from>
        <xdr:to>
          <xdr:col>1</xdr:col>
          <xdr:colOff>2336800</xdr:colOff>
          <xdr:row>219</xdr:row>
          <xdr:rowOff>279400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C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212</xdr:row>
          <xdr:rowOff>114300</xdr:rowOff>
        </xdr:from>
        <xdr:to>
          <xdr:col>4</xdr:col>
          <xdr:colOff>1079500</xdr:colOff>
          <xdr:row>214</xdr:row>
          <xdr:rowOff>88900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C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214</xdr:row>
          <xdr:rowOff>114300</xdr:rowOff>
        </xdr:from>
        <xdr:to>
          <xdr:col>3</xdr:col>
          <xdr:colOff>330200</xdr:colOff>
          <xdr:row>216</xdr:row>
          <xdr:rowOff>88900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C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216</xdr:row>
          <xdr:rowOff>114300</xdr:rowOff>
        </xdr:from>
        <xdr:to>
          <xdr:col>3</xdr:col>
          <xdr:colOff>317500</xdr:colOff>
          <xdr:row>218</xdr:row>
          <xdr:rowOff>88900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C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218</xdr:row>
          <xdr:rowOff>101600</xdr:rowOff>
        </xdr:from>
        <xdr:to>
          <xdr:col>2</xdr:col>
          <xdr:colOff>76200</xdr:colOff>
          <xdr:row>219</xdr:row>
          <xdr:rowOff>279400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C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12700</xdr:rowOff>
        </xdr:from>
        <xdr:to>
          <xdr:col>1</xdr:col>
          <xdr:colOff>1282700</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C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226</xdr:row>
          <xdr:rowOff>0</xdr:rowOff>
        </xdr:from>
        <xdr:to>
          <xdr:col>1</xdr:col>
          <xdr:colOff>1295400</xdr:colOff>
          <xdr:row>227</xdr:row>
          <xdr:rowOff>177800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C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12700</xdr:rowOff>
        </xdr:from>
        <xdr:to>
          <xdr:col>1</xdr:col>
          <xdr:colOff>1282700</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C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12700</xdr:rowOff>
        </xdr:from>
        <xdr:to>
          <xdr:col>1</xdr:col>
          <xdr:colOff>1282700</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C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12700</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C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1536700</xdr:colOff>
          <xdr:row>226</xdr:row>
          <xdr:rowOff>0</xdr:rowOff>
        </xdr:from>
        <xdr:to>
          <xdr:col>1</xdr:col>
          <xdr:colOff>3060700</xdr:colOff>
          <xdr:row>227</xdr:row>
          <xdr:rowOff>177800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C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12700</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C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12700</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C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223</xdr:row>
          <xdr:rowOff>190500</xdr:rowOff>
        </xdr:from>
        <xdr:to>
          <xdr:col>3</xdr:col>
          <xdr:colOff>63500</xdr:colOff>
          <xdr:row>225</xdr:row>
          <xdr:rowOff>165100</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C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225</xdr:row>
          <xdr:rowOff>177800</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C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227</xdr:row>
          <xdr:rowOff>190500</xdr:rowOff>
        </xdr:from>
        <xdr:to>
          <xdr:col>3</xdr:col>
          <xdr:colOff>762000</xdr:colOff>
          <xdr:row>229</xdr:row>
          <xdr:rowOff>165100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C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234</xdr:row>
          <xdr:rowOff>114300</xdr:rowOff>
        </xdr:from>
        <xdr:to>
          <xdr:col>1</xdr:col>
          <xdr:colOff>1270000</xdr:colOff>
          <xdr:row>236</xdr:row>
          <xdr:rowOff>88900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C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101600</xdr:rowOff>
        </xdr:from>
        <xdr:to>
          <xdr:col>1</xdr:col>
          <xdr:colOff>1282700</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C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238</xdr:row>
          <xdr:rowOff>114300</xdr:rowOff>
        </xdr:from>
        <xdr:to>
          <xdr:col>1</xdr:col>
          <xdr:colOff>1270000</xdr:colOff>
          <xdr:row>240</xdr:row>
          <xdr:rowOff>88900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C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240</xdr:row>
          <xdr:rowOff>114300</xdr:rowOff>
        </xdr:from>
        <xdr:to>
          <xdr:col>1</xdr:col>
          <xdr:colOff>1270000</xdr:colOff>
          <xdr:row>242</xdr:row>
          <xdr:rowOff>88900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C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1511300</xdr:colOff>
          <xdr:row>234</xdr:row>
          <xdr:rowOff>114300</xdr:rowOff>
        </xdr:from>
        <xdr:to>
          <xdr:col>1</xdr:col>
          <xdr:colOff>3035300</xdr:colOff>
          <xdr:row>236</xdr:row>
          <xdr:rowOff>88900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C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101600</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C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1511300</xdr:colOff>
          <xdr:row>238</xdr:row>
          <xdr:rowOff>114300</xdr:rowOff>
        </xdr:from>
        <xdr:to>
          <xdr:col>1</xdr:col>
          <xdr:colOff>3035300</xdr:colOff>
          <xdr:row>240</xdr:row>
          <xdr:rowOff>88900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C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236</xdr:row>
          <xdr:rowOff>127000</xdr:rowOff>
        </xdr:from>
        <xdr:to>
          <xdr:col>3</xdr:col>
          <xdr:colOff>38100</xdr:colOff>
          <xdr:row>238</xdr:row>
          <xdr:rowOff>101600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C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238</xdr:row>
          <xdr:rowOff>88900</xdr:rowOff>
        </xdr:from>
        <xdr:to>
          <xdr:col>3</xdr:col>
          <xdr:colOff>749300</xdr:colOff>
          <xdr:row>240</xdr:row>
          <xdr:rowOff>63500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C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1498600</xdr:colOff>
          <xdr:row>240</xdr:row>
          <xdr:rowOff>101600</xdr:rowOff>
        </xdr:from>
        <xdr:to>
          <xdr:col>1</xdr:col>
          <xdr:colOff>3022600</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C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234</xdr:row>
          <xdr:rowOff>114300</xdr:rowOff>
        </xdr:from>
        <xdr:to>
          <xdr:col>3</xdr:col>
          <xdr:colOff>50800</xdr:colOff>
          <xdr:row>236</xdr:row>
          <xdr:rowOff>88900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C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ctrlProp" Target="../ctrlProps/ctrlProp30.xml"/><Relationship Id="rId21" Type="http://schemas.openxmlformats.org/officeDocument/2006/relationships/ctrlProp" Target="../ctrlProps/ctrlProp48.xml"/><Relationship Id="rId34" Type="http://schemas.openxmlformats.org/officeDocument/2006/relationships/ctrlProp" Target="../ctrlProps/ctrlProp61.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vmlDrawing" Target="../drawings/vmlDrawing4.v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drawing" Target="../drawings/drawing4.xml"/><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 Id="rId8" Type="http://schemas.openxmlformats.org/officeDocument/2006/relationships/ctrlProp" Target="../ctrlProps/ctrlProp35.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72.xml"/><Relationship Id="rId18" Type="http://schemas.openxmlformats.org/officeDocument/2006/relationships/ctrlProp" Target="../ctrlProps/ctrlProp77.xml"/><Relationship Id="rId26" Type="http://schemas.openxmlformats.org/officeDocument/2006/relationships/ctrlProp" Target="../ctrlProps/ctrlProp85.xml"/><Relationship Id="rId39" Type="http://schemas.openxmlformats.org/officeDocument/2006/relationships/ctrlProp" Target="../ctrlProps/ctrlProp98.xml"/><Relationship Id="rId21" Type="http://schemas.openxmlformats.org/officeDocument/2006/relationships/ctrlProp" Target="../ctrlProps/ctrlProp80.xml"/><Relationship Id="rId34" Type="http://schemas.openxmlformats.org/officeDocument/2006/relationships/ctrlProp" Target="../ctrlProps/ctrlProp93.xml"/><Relationship Id="rId7" Type="http://schemas.openxmlformats.org/officeDocument/2006/relationships/ctrlProp" Target="../ctrlProps/ctrlProp66.xml"/><Relationship Id="rId2" Type="http://schemas.openxmlformats.org/officeDocument/2006/relationships/vmlDrawing" Target="../drawings/vmlDrawing5.vml"/><Relationship Id="rId16" Type="http://schemas.openxmlformats.org/officeDocument/2006/relationships/ctrlProp" Target="../ctrlProps/ctrlProp75.xml"/><Relationship Id="rId20" Type="http://schemas.openxmlformats.org/officeDocument/2006/relationships/ctrlProp" Target="../ctrlProps/ctrlProp79.xml"/><Relationship Id="rId29" Type="http://schemas.openxmlformats.org/officeDocument/2006/relationships/ctrlProp" Target="../ctrlProps/ctrlProp88.xml"/><Relationship Id="rId41" Type="http://schemas.openxmlformats.org/officeDocument/2006/relationships/ctrlProp" Target="../ctrlProps/ctrlProp100.xml"/><Relationship Id="rId1" Type="http://schemas.openxmlformats.org/officeDocument/2006/relationships/drawing" Target="../drawings/drawing5.xml"/><Relationship Id="rId6" Type="http://schemas.openxmlformats.org/officeDocument/2006/relationships/ctrlProp" Target="../ctrlProps/ctrlProp65.xml"/><Relationship Id="rId11" Type="http://schemas.openxmlformats.org/officeDocument/2006/relationships/ctrlProp" Target="../ctrlProps/ctrlProp70.xml"/><Relationship Id="rId24" Type="http://schemas.openxmlformats.org/officeDocument/2006/relationships/ctrlProp" Target="../ctrlProps/ctrlProp83.xml"/><Relationship Id="rId32" Type="http://schemas.openxmlformats.org/officeDocument/2006/relationships/ctrlProp" Target="../ctrlProps/ctrlProp91.xml"/><Relationship Id="rId37" Type="http://schemas.openxmlformats.org/officeDocument/2006/relationships/ctrlProp" Target="../ctrlProps/ctrlProp96.xml"/><Relationship Id="rId40" Type="http://schemas.openxmlformats.org/officeDocument/2006/relationships/ctrlProp" Target="../ctrlProps/ctrlProp99.xml"/><Relationship Id="rId5" Type="http://schemas.openxmlformats.org/officeDocument/2006/relationships/ctrlProp" Target="../ctrlProps/ctrlProp64.xml"/><Relationship Id="rId15" Type="http://schemas.openxmlformats.org/officeDocument/2006/relationships/ctrlProp" Target="../ctrlProps/ctrlProp74.xml"/><Relationship Id="rId23" Type="http://schemas.openxmlformats.org/officeDocument/2006/relationships/ctrlProp" Target="../ctrlProps/ctrlProp82.xml"/><Relationship Id="rId28" Type="http://schemas.openxmlformats.org/officeDocument/2006/relationships/ctrlProp" Target="../ctrlProps/ctrlProp87.xml"/><Relationship Id="rId36" Type="http://schemas.openxmlformats.org/officeDocument/2006/relationships/ctrlProp" Target="../ctrlProps/ctrlProp95.xml"/><Relationship Id="rId10" Type="http://schemas.openxmlformats.org/officeDocument/2006/relationships/ctrlProp" Target="../ctrlProps/ctrlProp69.xml"/><Relationship Id="rId19" Type="http://schemas.openxmlformats.org/officeDocument/2006/relationships/ctrlProp" Target="../ctrlProps/ctrlProp78.xml"/><Relationship Id="rId31" Type="http://schemas.openxmlformats.org/officeDocument/2006/relationships/ctrlProp" Target="../ctrlProps/ctrlProp90.xml"/><Relationship Id="rId4" Type="http://schemas.openxmlformats.org/officeDocument/2006/relationships/ctrlProp" Target="../ctrlProps/ctrlProp63.xml"/><Relationship Id="rId9" Type="http://schemas.openxmlformats.org/officeDocument/2006/relationships/ctrlProp" Target="../ctrlProps/ctrlProp68.xml"/><Relationship Id="rId14" Type="http://schemas.openxmlformats.org/officeDocument/2006/relationships/ctrlProp" Target="../ctrlProps/ctrlProp73.xml"/><Relationship Id="rId22" Type="http://schemas.openxmlformats.org/officeDocument/2006/relationships/ctrlProp" Target="../ctrlProps/ctrlProp81.xml"/><Relationship Id="rId27" Type="http://schemas.openxmlformats.org/officeDocument/2006/relationships/ctrlProp" Target="../ctrlProps/ctrlProp86.xml"/><Relationship Id="rId30" Type="http://schemas.openxmlformats.org/officeDocument/2006/relationships/ctrlProp" Target="../ctrlProps/ctrlProp89.xml"/><Relationship Id="rId35" Type="http://schemas.openxmlformats.org/officeDocument/2006/relationships/ctrlProp" Target="../ctrlProps/ctrlProp94.xml"/><Relationship Id="rId8" Type="http://schemas.openxmlformats.org/officeDocument/2006/relationships/ctrlProp" Target="../ctrlProps/ctrlProp67.xml"/><Relationship Id="rId3" Type="http://schemas.openxmlformats.org/officeDocument/2006/relationships/ctrlProp" Target="../ctrlProps/ctrlProp62.xml"/><Relationship Id="rId12" Type="http://schemas.openxmlformats.org/officeDocument/2006/relationships/ctrlProp" Target="../ctrlProps/ctrlProp71.xml"/><Relationship Id="rId17" Type="http://schemas.openxmlformats.org/officeDocument/2006/relationships/ctrlProp" Target="../ctrlProps/ctrlProp76.xml"/><Relationship Id="rId25" Type="http://schemas.openxmlformats.org/officeDocument/2006/relationships/ctrlProp" Target="../ctrlProps/ctrlProp84.xml"/><Relationship Id="rId33" Type="http://schemas.openxmlformats.org/officeDocument/2006/relationships/ctrlProp" Target="../ctrlProps/ctrlProp92.xml"/><Relationship Id="rId38" Type="http://schemas.openxmlformats.org/officeDocument/2006/relationships/ctrlProp" Target="../ctrlProps/ctrlProp97.xml"/></Relationships>
</file>

<file path=xl/worksheets/_rels/sheet12.xml.rels><?xml version="1.0" encoding="UTF-8" standalone="yes"?>
<Relationships xmlns="http://schemas.openxmlformats.org/package/2006/relationships"><Relationship Id="rId3" Type="http://schemas.openxmlformats.org/officeDocument/2006/relationships/ctrlProp" Target="../ctrlProps/ctrlProp101.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112.xml"/><Relationship Id="rId18" Type="http://schemas.openxmlformats.org/officeDocument/2006/relationships/ctrlProp" Target="../ctrlProps/ctrlProp117.xml"/><Relationship Id="rId26" Type="http://schemas.openxmlformats.org/officeDocument/2006/relationships/ctrlProp" Target="../ctrlProps/ctrlProp125.xml"/><Relationship Id="rId39" Type="http://schemas.openxmlformats.org/officeDocument/2006/relationships/ctrlProp" Target="../ctrlProps/ctrlProp138.xml"/><Relationship Id="rId21" Type="http://schemas.openxmlformats.org/officeDocument/2006/relationships/ctrlProp" Target="../ctrlProps/ctrlProp120.xml"/><Relationship Id="rId34" Type="http://schemas.openxmlformats.org/officeDocument/2006/relationships/ctrlProp" Target="../ctrlProps/ctrlProp133.xml"/><Relationship Id="rId42" Type="http://schemas.openxmlformats.org/officeDocument/2006/relationships/ctrlProp" Target="../ctrlProps/ctrlProp141.xml"/><Relationship Id="rId47" Type="http://schemas.openxmlformats.org/officeDocument/2006/relationships/ctrlProp" Target="../ctrlProps/ctrlProp146.xml"/><Relationship Id="rId50" Type="http://schemas.openxmlformats.org/officeDocument/2006/relationships/ctrlProp" Target="../ctrlProps/ctrlProp149.xml"/><Relationship Id="rId7" Type="http://schemas.openxmlformats.org/officeDocument/2006/relationships/ctrlProp" Target="../ctrlProps/ctrlProp106.xml"/><Relationship Id="rId2" Type="http://schemas.openxmlformats.org/officeDocument/2006/relationships/vmlDrawing" Target="../drawings/vmlDrawing7.vml"/><Relationship Id="rId16" Type="http://schemas.openxmlformats.org/officeDocument/2006/relationships/ctrlProp" Target="../ctrlProps/ctrlProp115.xml"/><Relationship Id="rId29" Type="http://schemas.openxmlformats.org/officeDocument/2006/relationships/ctrlProp" Target="../ctrlProps/ctrlProp128.xml"/><Relationship Id="rId11" Type="http://schemas.openxmlformats.org/officeDocument/2006/relationships/ctrlProp" Target="../ctrlProps/ctrlProp110.xml"/><Relationship Id="rId24" Type="http://schemas.openxmlformats.org/officeDocument/2006/relationships/ctrlProp" Target="../ctrlProps/ctrlProp123.xml"/><Relationship Id="rId32" Type="http://schemas.openxmlformats.org/officeDocument/2006/relationships/ctrlProp" Target="../ctrlProps/ctrlProp131.xml"/><Relationship Id="rId37" Type="http://schemas.openxmlformats.org/officeDocument/2006/relationships/ctrlProp" Target="../ctrlProps/ctrlProp136.xml"/><Relationship Id="rId40" Type="http://schemas.openxmlformats.org/officeDocument/2006/relationships/ctrlProp" Target="../ctrlProps/ctrlProp139.xml"/><Relationship Id="rId45" Type="http://schemas.openxmlformats.org/officeDocument/2006/relationships/ctrlProp" Target="../ctrlProps/ctrlProp144.xml"/><Relationship Id="rId5" Type="http://schemas.openxmlformats.org/officeDocument/2006/relationships/ctrlProp" Target="../ctrlProps/ctrlProp104.xml"/><Relationship Id="rId15" Type="http://schemas.openxmlformats.org/officeDocument/2006/relationships/ctrlProp" Target="../ctrlProps/ctrlProp114.xml"/><Relationship Id="rId23" Type="http://schemas.openxmlformats.org/officeDocument/2006/relationships/ctrlProp" Target="../ctrlProps/ctrlProp122.xml"/><Relationship Id="rId28" Type="http://schemas.openxmlformats.org/officeDocument/2006/relationships/ctrlProp" Target="../ctrlProps/ctrlProp127.xml"/><Relationship Id="rId36" Type="http://schemas.openxmlformats.org/officeDocument/2006/relationships/ctrlProp" Target="../ctrlProps/ctrlProp135.xml"/><Relationship Id="rId49" Type="http://schemas.openxmlformats.org/officeDocument/2006/relationships/ctrlProp" Target="../ctrlProps/ctrlProp148.xml"/><Relationship Id="rId10" Type="http://schemas.openxmlformats.org/officeDocument/2006/relationships/ctrlProp" Target="../ctrlProps/ctrlProp109.xml"/><Relationship Id="rId19" Type="http://schemas.openxmlformats.org/officeDocument/2006/relationships/ctrlProp" Target="../ctrlProps/ctrlProp118.xml"/><Relationship Id="rId31" Type="http://schemas.openxmlformats.org/officeDocument/2006/relationships/ctrlProp" Target="../ctrlProps/ctrlProp130.xml"/><Relationship Id="rId44" Type="http://schemas.openxmlformats.org/officeDocument/2006/relationships/ctrlProp" Target="../ctrlProps/ctrlProp143.xml"/><Relationship Id="rId52" Type="http://schemas.openxmlformats.org/officeDocument/2006/relationships/ctrlProp" Target="../ctrlProps/ctrlProp151.xml"/><Relationship Id="rId4" Type="http://schemas.openxmlformats.org/officeDocument/2006/relationships/ctrlProp" Target="../ctrlProps/ctrlProp103.xml"/><Relationship Id="rId9" Type="http://schemas.openxmlformats.org/officeDocument/2006/relationships/ctrlProp" Target="../ctrlProps/ctrlProp108.xml"/><Relationship Id="rId14" Type="http://schemas.openxmlformats.org/officeDocument/2006/relationships/ctrlProp" Target="../ctrlProps/ctrlProp113.xml"/><Relationship Id="rId22" Type="http://schemas.openxmlformats.org/officeDocument/2006/relationships/ctrlProp" Target="../ctrlProps/ctrlProp121.xml"/><Relationship Id="rId27" Type="http://schemas.openxmlformats.org/officeDocument/2006/relationships/ctrlProp" Target="../ctrlProps/ctrlProp126.xml"/><Relationship Id="rId30" Type="http://schemas.openxmlformats.org/officeDocument/2006/relationships/ctrlProp" Target="../ctrlProps/ctrlProp129.xml"/><Relationship Id="rId35" Type="http://schemas.openxmlformats.org/officeDocument/2006/relationships/ctrlProp" Target="../ctrlProps/ctrlProp134.xml"/><Relationship Id="rId43" Type="http://schemas.openxmlformats.org/officeDocument/2006/relationships/ctrlProp" Target="../ctrlProps/ctrlProp142.xml"/><Relationship Id="rId48" Type="http://schemas.openxmlformats.org/officeDocument/2006/relationships/ctrlProp" Target="../ctrlProps/ctrlProp147.xml"/><Relationship Id="rId8" Type="http://schemas.openxmlformats.org/officeDocument/2006/relationships/ctrlProp" Target="../ctrlProps/ctrlProp107.xml"/><Relationship Id="rId51" Type="http://schemas.openxmlformats.org/officeDocument/2006/relationships/ctrlProp" Target="../ctrlProps/ctrlProp150.xml"/><Relationship Id="rId3" Type="http://schemas.openxmlformats.org/officeDocument/2006/relationships/ctrlProp" Target="../ctrlProps/ctrlProp102.xml"/><Relationship Id="rId12" Type="http://schemas.openxmlformats.org/officeDocument/2006/relationships/ctrlProp" Target="../ctrlProps/ctrlProp111.xml"/><Relationship Id="rId17" Type="http://schemas.openxmlformats.org/officeDocument/2006/relationships/ctrlProp" Target="../ctrlProps/ctrlProp116.xml"/><Relationship Id="rId25" Type="http://schemas.openxmlformats.org/officeDocument/2006/relationships/ctrlProp" Target="../ctrlProps/ctrlProp124.xml"/><Relationship Id="rId33" Type="http://schemas.openxmlformats.org/officeDocument/2006/relationships/ctrlProp" Target="../ctrlProps/ctrlProp132.xml"/><Relationship Id="rId38" Type="http://schemas.openxmlformats.org/officeDocument/2006/relationships/ctrlProp" Target="../ctrlProps/ctrlProp137.xml"/><Relationship Id="rId46" Type="http://schemas.openxmlformats.org/officeDocument/2006/relationships/ctrlProp" Target="../ctrlProps/ctrlProp145.xml"/><Relationship Id="rId20" Type="http://schemas.openxmlformats.org/officeDocument/2006/relationships/ctrlProp" Target="../ctrlProps/ctrlProp119.xml"/><Relationship Id="rId41" Type="http://schemas.openxmlformats.org/officeDocument/2006/relationships/ctrlProp" Target="../ctrlProps/ctrlProp140.xml"/><Relationship Id="rId1" Type="http://schemas.openxmlformats.org/officeDocument/2006/relationships/drawing" Target="../drawings/drawing7.xml"/><Relationship Id="rId6" Type="http://schemas.openxmlformats.org/officeDocument/2006/relationships/ctrlProp" Target="../ctrlProps/ctrlProp105.xml"/></Relationships>
</file>

<file path=xl/worksheets/_rels/sheet16.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collegesurvey@collegeboard.org" TargetMode="Externa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7.xml.rels><?xml version="1.0" encoding="UTF-8" standalone="yes"?>
<Relationships xmlns="http://schemas.openxmlformats.org/package/2006/relationships"><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ctrlProp" Target="../ctrlProps/ctrlProp13.xml"/><Relationship Id="rId7" Type="http://schemas.openxmlformats.org/officeDocument/2006/relationships/ctrlProp" Target="../ctrlProps/ctrlProp17.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3" Type="http://schemas.openxmlformats.org/officeDocument/2006/relationships/ctrlProp" Target="../ctrlProps/ctrlProp19.xml"/><Relationship Id="rId7" Type="http://schemas.openxmlformats.org/officeDocument/2006/relationships/ctrlProp" Target="../ctrlProps/ctrlProp23.xml"/><Relationship Id="rId12" Type="http://schemas.openxmlformats.org/officeDocument/2006/relationships/ctrlProp" Target="../ctrlProps/ctrlProp28.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0" Type="http://schemas.openxmlformats.org/officeDocument/2006/relationships/ctrlProp" Target="../ctrlProps/ctrlProp26.xml"/><Relationship Id="rId4" Type="http://schemas.openxmlformats.org/officeDocument/2006/relationships/ctrlProp" Target="../ctrlProps/ctrlProp20.xml"/><Relationship Id="rId9"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4B95-F497-D447-9E8F-9AEE620EF701}">
  <sheetPr codeName="Sheet1"/>
  <dimension ref="A1:I862"/>
  <sheetViews>
    <sheetView zoomScale="115" zoomScaleNormal="150" workbookViewId="0">
      <pane ySplit="1" topLeftCell="A2" activePane="bottomLeft" state="frozen"/>
      <selection pane="bottomLeft" activeCell="B2" sqref="B2"/>
    </sheetView>
  </sheetViews>
  <sheetFormatPr baseColWidth="10" defaultColWidth="11" defaultRowHeight="16" x14ac:dyDescent="0.2"/>
  <cols>
    <col min="1" max="1" width="18.5" style="44" bestFit="1" customWidth="1"/>
    <col min="2" max="2" width="50.83203125" style="65" customWidth="1"/>
    <col min="3" max="3" width="52.83203125" style="65" customWidth="1"/>
    <col min="4" max="4" width="20.6640625" customWidth="1"/>
    <col min="5" max="5" width="20.6640625" style="48" customWidth="1"/>
    <col min="6" max="6" width="18.5" style="17" customWidth="1"/>
    <col min="7" max="7" width="18.5" style="156" customWidth="1"/>
    <col min="8" max="8" width="23.83203125" customWidth="1"/>
    <col min="9" max="9" width="25.5" bestFit="1" customWidth="1"/>
  </cols>
  <sheetData>
    <row r="1" spans="1:9" s="2" customFormat="1" ht="17" x14ac:dyDescent="0.2">
      <c r="A1" s="63" t="s">
        <v>0</v>
      </c>
      <c r="B1" s="72" t="s">
        <v>1</v>
      </c>
      <c r="C1" s="72" t="s">
        <v>2322</v>
      </c>
      <c r="D1" s="2" t="s">
        <v>2</v>
      </c>
      <c r="E1" s="47" t="s">
        <v>3</v>
      </c>
      <c r="F1" s="3" t="s">
        <v>4</v>
      </c>
      <c r="G1" s="211" t="s">
        <v>5</v>
      </c>
      <c r="H1" s="2" t="s">
        <v>6</v>
      </c>
      <c r="I1" s="2" t="s">
        <v>7</v>
      </c>
    </row>
    <row r="2" spans="1:9" s="2" customFormat="1" ht="17" x14ac:dyDescent="0.2">
      <c r="A2" s="63" t="s">
        <v>8</v>
      </c>
      <c r="B2" s="72" t="str">
        <f>C2</f>
        <v>2024.1.0</v>
      </c>
      <c r="C2" s="72" t="s">
        <v>9</v>
      </c>
      <c r="D2" s="2" t="s">
        <v>10</v>
      </c>
      <c r="E2" s="47">
        <v>1</v>
      </c>
      <c r="F2" s="3" t="s">
        <v>11</v>
      </c>
      <c r="G2" s="3"/>
    </row>
    <row r="3" spans="1:9" ht="17" x14ac:dyDescent="0.2">
      <c r="A3" s="64" t="s">
        <v>12</v>
      </c>
      <c r="B3" s="257" t="str" cm="1">
        <f t="array" aca="1" ref="B3" ca="1">IF(ISBLANK(INDIRECT(MID(_xlfn.FORMULATEXT(C3),2,LEN(_xlfn.FORMULATEXT(C3))-1)))=TRUE,"",C3)</f>
        <v>Peter</v>
      </c>
      <c r="C3" s="75" t="str">
        <f>'CDS-A'!D5</f>
        <v>Peter</v>
      </c>
      <c r="D3" s="17" t="s">
        <v>13</v>
      </c>
      <c r="E3" s="48">
        <v>1</v>
      </c>
      <c r="F3" s="16" t="s">
        <v>14</v>
      </c>
      <c r="G3" s="16"/>
    </row>
    <row r="4" spans="1:9" ht="17" x14ac:dyDescent="0.2">
      <c r="A4" s="64" t="s">
        <v>15</v>
      </c>
      <c r="B4" s="257" t="str" cm="1">
        <f t="array" aca="1" ref="B4" ca="1">IF(ISBLANK(INDIRECT(MID(_xlfn.FORMULATEXT(C4),2,LEN(_xlfn.FORMULATEXT(C4))-1)))=TRUE,"",C4)</f>
        <v>Bradley</v>
      </c>
      <c r="C4" s="75" t="str">
        <f>'CDS-A'!D6</f>
        <v>Bradley</v>
      </c>
      <c r="D4" s="17" t="s">
        <v>13</v>
      </c>
      <c r="E4" s="48">
        <v>2</v>
      </c>
      <c r="F4" s="16" t="s">
        <v>14</v>
      </c>
      <c r="G4" s="16"/>
    </row>
    <row r="5" spans="1:9" ht="17" x14ac:dyDescent="0.2">
      <c r="A5" s="44" t="s">
        <v>16</v>
      </c>
      <c r="B5" s="257" t="str" cm="1">
        <f t="array" aca="1" ref="B5" ca="1">IF(ISBLANK(INDIRECT(MID(_xlfn.FORMULATEXT(C5),2,LEN(_xlfn.FORMULATEXT(C5))-1)))=TRUE,"",C5)</f>
        <v>Associate Provost for Institutional Effectiveness, Strategic Planning and Assessment</v>
      </c>
      <c r="C5" s="75" t="str">
        <f>'CDS-A'!D7</f>
        <v>Associate Provost for Institutional Effectiveness, Strategic Planning and Assessment</v>
      </c>
      <c r="D5" s="17" t="s">
        <v>13</v>
      </c>
      <c r="E5" s="48">
        <v>3</v>
      </c>
      <c r="F5" s="16" t="s">
        <v>14</v>
      </c>
      <c r="G5" s="16"/>
    </row>
    <row r="6" spans="1:9" ht="17" x14ac:dyDescent="0.2">
      <c r="A6" s="44" t="s">
        <v>17</v>
      </c>
      <c r="B6" s="257" t="str" cm="1">
        <f t="array" aca="1" ref="B6" ca="1">IF(ISBLANK(INDIRECT(MID(_xlfn.FORMULATEXT(C6),2,LEN(_xlfn.FORMULATEXT(C6))-1)))=TRUE,"",C6)</f>
        <v>Bentley Hall, 210</v>
      </c>
      <c r="C6" s="75" t="str">
        <f>'CDS-A'!D8</f>
        <v>Bentley Hall, 210</v>
      </c>
      <c r="D6" s="17" t="s">
        <v>13</v>
      </c>
      <c r="E6" s="48">
        <v>4</v>
      </c>
      <c r="F6" s="16" t="s">
        <v>14</v>
      </c>
      <c r="G6" s="16"/>
    </row>
    <row r="7" spans="1:9" ht="17" x14ac:dyDescent="0.2">
      <c r="A7" s="44" t="s">
        <v>18</v>
      </c>
      <c r="B7" s="257" t="str" cm="1">
        <f t="array" aca="1" ref="B7" ca="1">IF(ISBLANK(INDIRECT(MID(_xlfn.FORMULATEXT(C7),2,LEN(_xlfn.FORMULATEXT(C7))-1)))=TRUE,"",C7)</f>
        <v>520 North Main Street</v>
      </c>
      <c r="C7" s="75" t="str">
        <f>'CDS-A'!D9</f>
        <v>520 North Main Street</v>
      </c>
      <c r="D7" s="17" t="s">
        <v>13</v>
      </c>
      <c r="E7" s="48">
        <v>5</v>
      </c>
      <c r="F7" s="16" t="s">
        <v>14</v>
      </c>
      <c r="G7" s="16"/>
    </row>
    <row r="8" spans="1:9" ht="17" x14ac:dyDescent="0.2">
      <c r="A8" s="44" t="s">
        <v>19</v>
      </c>
      <c r="B8" s="257" t="str" cm="1">
        <f t="array" aca="1" ref="B8" ca="1">IF(ISBLANK(INDIRECT(MID(_xlfn.FORMULATEXT(C8),2,LEN(_xlfn.FORMULATEXT(C8))-1)))=TRUE,"",C8)</f>
        <v>Meadville</v>
      </c>
      <c r="C8" s="75" t="str">
        <f>'CDS-A'!D10</f>
        <v>Meadville</v>
      </c>
      <c r="D8" s="17" t="s">
        <v>13</v>
      </c>
      <c r="E8" s="48">
        <v>6</v>
      </c>
      <c r="F8" s="16" t="s">
        <v>14</v>
      </c>
      <c r="G8" s="16"/>
    </row>
    <row r="9" spans="1:9" ht="17" x14ac:dyDescent="0.2">
      <c r="A9" s="44" t="s">
        <v>20</v>
      </c>
      <c r="B9" s="257" t="str" cm="1">
        <f t="array" aca="1" ref="B9" ca="1">IF(ISBLANK(INDIRECT(MID(_xlfn.FORMULATEXT(C9),2,LEN(_xlfn.FORMULATEXT(C9))-1)))=TRUE,"",C9)</f>
        <v>Pennsylvania</v>
      </c>
      <c r="C9" s="65" t="str">
        <f>'CDS-A'!D11</f>
        <v>Pennsylvania</v>
      </c>
      <c r="D9" s="17" t="s">
        <v>13</v>
      </c>
      <c r="E9" s="48">
        <v>7</v>
      </c>
      <c r="F9" s="16" t="s">
        <v>21</v>
      </c>
      <c r="G9" s="16"/>
    </row>
    <row r="10" spans="1:9" x14ac:dyDescent="0.2">
      <c r="A10" s="44" t="s">
        <v>22</v>
      </c>
      <c r="B10" s="257" cm="1">
        <f t="array" aca="1" ref="B10" ca="1">IF(ISBLANK(INDIRECT(MID(_xlfn.FORMULATEXT(C10),2,LEN(_xlfn.FORMULATEXT(C10))-1)))=TRUE,"",C10)</f>
        <v>16335</v>
      </c>
      <c r="C10" s="80">
        <f>'CDS-A'!D12</f>
        <v>16335</v>
      </c>
      <c r="D10" s="17" t="s">
        <v>13</v>
      </c>
      <c r="E10" s="48">
        <v>8</v>
      </c>
      <c r="F10" s="16" t="s">
        <v>23</v>
      </c>
      <c r="G10" s="16"/>
    </row>
    <row r="11" spans="1:9" ht="17" x14ac:dyDescent="0.2">
      <c r="A11" s="44" t="s">
        <v>24</v>
      </c>
      <c r="B11" s="257" t="str" cm="1">
        <f t="array" aca="1" ref="B11" ca="1">IF(ISBLANK(INDIRECT(MID(_xlfn.FORMULATEXT(C11),2,LEN(_xlfn.FORMULATEXT(C11))-1)))=TRUE,"",C11)</f>
        <v>United States</v>
      </c>
      <c r="C11" s="65" t="str">
        <f>'CDS-A'!D13</f>
        <v>United States</v>
      </c>
      <c r="D11" s="17" t="s">
        <v>13</v>
      </c>
      <c r="E11" s="48">
        <v>9</v>
      </c>
      <c r="F11" s="16" t="s">
        <v>21</v>
      </c>
      <c r="G11" s="16"/>
    </row>
    <row r="12" spans="1:9" x14ac:dyDescent="0.2">
      <c r="A12" s="64" t="s">
        <v>25</v>
      </c>
      <c r="B12" s="257" t="str" cm="1">
        <f t="array" aca="1" ref="B12" ca="1">IF(ISBLANK(INDIRECT(MID(_xlfn.FORMULATEXT(C12),2,LEN(_xlfn.FORMULATEXT(C12))-1)))=TRUE,"",C12)</f>
        <v>814.332.3773</v>
      </c>
      <c r="C12" s="80" t="str">
        <f>'CDS-A'!D14</f>
        <v>814.332.3773</v>
      </c>
      <c r="D12" s="17" t="s">
        <v>13</v>
      </c>
      <c r="E12" s="48">
        <v>10</v>
      </c>
      <c r="F12" s="16" t="s">
        <v>26</v>
      </c>
      <c r="G12" s="16"/>
    </row>
    <row r="13" spans="1:9" x14ac:dyDescent="0.2">
      <c r="A13" s="64" t="s">
        <v>27</v>
      </c>
      <c r="B13" s="257" cm="1">
        <f t="array" aca="1" ref="B13" ca="1">IF(ISBLANK(INDIRECT(MID(_xlfn.FORMULATEXT(C13),2,LEN(_xlfn.FORMULATEXT(C13))-1)))=TRUE,"",C13)</f>
        <v>3773</v>
      </c>
      <c r="C13" s="80">
        <f>'CDS-A'!D15</f>
        <v>3773</v>
      </c>
      <c r="D13" s="17" t="s">
        <v>13</v>
      </c>
      <c r="E13" s="48">
        <v>11</v>
      </c>
      <c r="F13" s="16" t="s">
        <v>384</v>
      </c>
      <c r="G13" s="16"/>
    </row>
    <row r="14" spans="1:9" ht="17" x14ac:dyDescent="0.2">
      <c r="A14" s="64" t="s">
        <v>28</v>
      </c>
      <c r="B14" s="257" t="str" cm="1">
        <f t="array" aca="1" ref="B14" ca="1">IF(ISBLANK(INDIRECT(MID(_xlfn.FORMULATEXT(C14),2,LEN(_xlfn.FORMULATEXT(C14))-1)))=TRUE,"",C14)</f>
        <v>pbradley@allegheny.edu</v>
      </c>
      <c r="C14" s="65" t="str">
        <f>'CDS-A'!D16</f>
        <v>pbradley@allegheny.edu</v>
      </c>
      <c r="D14" s="17" t="s">
        <v>13</v>
      </c>
      <c r="E14" s="48">
        <v>12</v>
      </c>
      <c r="F14" s="16" t="s">
        <v>29</v>
      </c>
      <c r="G14" s="16"/>
    </row>
    <row r="15" spans="1:9" ht="17" x14ac:dyDescent="0.2">
      <c r="A15" s="44" t="s">
        <v>30</v>
      </c>
      <c r="B15" s="257" t="str" cm="1">
        <f t="array" aca="1" ref="B15" ca="1">IF(ISBLANK(INDIRECT(MID(_xlfn.FORMULATEXT(C15),2,LEN(_xlfn.FORMULATEXT(C15))-1)))=TRUE,"",C15)</f>
        <v>Yes</v>
      </c>
      <c r="C15" s="65" t="str">
        <f>'CDS-A'!D20</f>
        <v>Yes</v>
      </c>
      <c r="D15" s="17" t="s">
        <v>13</v>
      </c>
      <c r="E15" s="48">
        <v>13</v>
      </c>
      <c r="F15" s="16" t="s">
        <v>21</v>
      </c>
      <c r="G15" s="16"/>
    </row>
    <row r="16" spans="1:9" ht="17" x14ac:dyDescent="0.2">
      <c r="A16" s="44" t="s">
        <v>31</v>
      </c>
      <c r="B16" s="257" t="str" cm="1">
        <f t="array" aca="1" ref="B16" ca="1">IF(ISBLANK(INDIRECT(MID(_xlfn.FORMULATEXT(C16),2,LEN(_xlfn.FORMULATEXT(C16))-1)))=TRUE,"",C16)</f>
        <v>https://sites.allegheny.edu/institutional-effectiveness/the-common-data-set/</v>
      </c>
      <c r="C16" s="75" t="str">
        <f>'CDS-A'!D22</f>
        <v>https://sites.allegheny.edu/institutional-effectiveness/the-common-data-set/</v>
      </c>
      <c r="D16" s="17" t="s">
        <v>13</v>
      </c>
      <c r="E16" s="48">
        <v>14</v>
      </c>
      <c r="F16" s="16" t="s">
        <v>32</v>
      </c>
      <c r="G16" s="16"/>
    </row>
    <row r="17" spans="1:7" ht="17" x14ac:dyDescent="0.2">
      <c r="A17" s="44" t="s">
        <v>33</v>
      </c>
      <c r="B17" s="257" t="str" cm="1">
        <f t="array" aca="1" ref="B17" ca="1">IF(ISBLANK(INDIRECT(MID(_xlfn.FORMULATEXT(C17),2,LEN(_xlfn.FORMULATEXT(C17))-1)))=TRUE,"",C17)</f>
        <v/>
      </c>
      <c r="C17" s="75">
        <f>'CDS-A'!D31</f>
        <v>0</v>
      </c>
      <c r="D17" s="17" t="s">
        <v>13</v>
      </c>
      <c r="E17" s="48">
        <v>15</v>
      </c>
      <c r="F17" s="16" t="s">
        <v>34</v>
      </c>
      <c r="G17" s="16"/>
    </row>
    <row r="18" spans="1:7" ht="17" x14ac:dyDescent="0.2">
      <c r="A18" s="64" t="s">
        <v>35</v>
      </c>
      <c r="B18" s="257" t="str" cm="1">
        <f t="array" aca="1" ref="B18" ca="1">IF(ISBLANK(INDIRECT(MID(_xlfn.FORMULATEXT(C18),2,LEN(_xlfn.FORMULATEXT(C18))-1)))=TRUE,"",C18)</f>
        <v>Box 5, 520 North Main</v>
      </c>
      <c r="C18" s="65" t="str">
        <f>'CDS-A'!D45</f>
        <v>Box 5, 520 North Main</v>
      </c>
      <c r="D18" s="17" t="s">
        <v>13</v>
      </c>
      <c r="E18" s="48">
        <v>16</v>
      </c>
      <c r="F18" s="16" t="s">
        <v>14</v>
      </c>
      <c r="G18" s="16"/>
    </row>
    <row r="19" spans="1:7" ht="17" x14ac:dyDescent="0.2">
      <c r="A19" s="64" t="s">
        <v>36</v>
      </c>
      <c r="B19" s="257" t="str" cm="1">
        <f t="array" aca="1" ref="B19" ca="1">IF(ISBLANK(INDIRECT(MID(_xlfn.FORMULATEXT(C19),2,LEN(_xlfn.FORMULATEXT(C19))-1)))=TRUE,"",C19)</f>
        <v>Meadville</v>
      </c>
      <c r="C19" s="65" t="str">
        <f>'CDS-A'!D46</f>
        <v>Meadville</v>
      </c>
      <c r="D19" s="17" t="s">
        <v>13</v>
      </c>
      <c r="E19" s="48">
        <v>17</v>
      </c>
      <c r="F19" s="16" t="s">
        <v>14</v>
      </c>
      <c r="G19" s="16"/>
    </row>
    <row r="20" spans="1:7" ht="17" x14ac:dyDescent="0.2">
      <c r="A20" s="64" t="s">
        <v>37</v>
      </c>
      <c r="B20" s="257" t="str" cm="1">
        <f t="array" aca="1" ref="B20" ca="1">IF(ISBLANK(INDIRECT(MID(_xlfn.FORMULATEXT(C20),2,LEN(_xlfn.FORMULATEXT(C20))-1)))=TRUE,"",C20)</f>
        <v>Pennsylvania</v>
      </c>
      <c r="C20" s="65" t="str">
        <f>'CDS-A'!D47</f>
        <v>Pennsylvania</v>
      </c>
      <c r="D20" s="17" t="s">
        <v>13</v>
      </c>
      <c r="E20" s="48">
        <v>18</v>
      </c>
      <c r="F20" s="16" t="s">
        <v>14</v>
      </c>
      <c r="G20" s="16"/>
    </row>
    <row r="21" spans="1:7" x14ac:dyDescent="0.2">
      <c r="A21" s="64" t="s">
        <v>38</v>
      </c>
      <c r="B21" s="257" cm="1">
        <f t="array" aca="1" ref="B21" ca="1">IF(ISBLANK(INDIRECT(MID(_xlfn.FORMULATEXT(C21),2,LEN(_xlfn.FORMULATEXT(C21))-1)))=TRUE,"",C21)</f>
        <v>16335</v>
      </c>
      <c r="C21" s="80">
        <f>'CDS-A'!D48</f>
        <v>16335</v>
      </c>
      <c r="D21" s="17" t="s">
        <v>13</v>
      </c>
      <c r="E21" s="48">
        <v>19</v>
      </c>
      <c r="F21" s="16" t="s">
        <v>23</v>
      </c>
      <c r="G21" s="16"/>
    </row>
    <row r="22" spans="1:7" ht="17" x14ac:dyDescent="0.2">
      <c r="A22" s="64" t="s">
        <v>39</v>
      </c>
      <c r="B22" s="257" t="str" cm="1">
        <f t="array" aca="1" ref="B22" ca="1">IF(ISBLANK(INDIRECT(MID(_xlfn.FORMULATEXT(C22),2,LEN(_xlfn.FORMULATEXT(C22))-1)))=TRUE,"",C22)</f>
        <v>United States</v>
      </c>
      <c r="C22" s="65" t="str">
        <f>'CDS-A'!D49</f>
        <v>United States</v>
      </c>
      <c r="D22" s="17" t="s">
        <v>13</v>
      </c>
      <c r="E22" s="48">
        <v>20</v>
      </c>
      <c r="F22" s="16" t="s">
        <v>21</v>
      </c>
      <c r="G22" s="16"/>
    </row>
    <row r="23" spans="1:7" x14ac:dyDescent="0.2">
      <c r="A23" s="64" t="s">
        <v>40</v>
      </c>
      <c r="B23" s="257" cm="1">
        <f t="array" aca="1" ref="B23" ca="1">IF(ISBLANK(INDIRECT(MID(_xlfn.FORMULATEXT(C23),2,LEN(_xlfn.FORMULATEXT(C23))-1)))=TRUE,"",C23)</f>
        <v>8143324351</v>
      </c>
      <c r="C23" s="65">
        <f>'CDS-A'!D50</f>
        <v>8143324351</v>
      </c>
      <c r="D23" s="17" t="s">
        <v>13</v>
      </c>
      <c r="E23" s="48">
        <v>21</v>
      </c>
      <c r="F23" s="16" t="s">
        <v>26</v>
      </c>
      <c r="G23" s="16"/>
    </row>
    <row r="24" spans="1:7" ht="17" x14ac:dyDescent="0.2">
      <c r="A24" s="44" t="s">
        <v>41</v>
      </c>
      <c r="B24" s="257" t="str" cm="1">
        <f t="array" aca="1" ref="B24" ca="1">IF(ISBLANK(INDIRECT(MID(_xlfn.FORMULATEXT(C24),2,LEN(_xlfn.FORMULATEXT(C24))-1)))=TRUE,"",C24)</f>
        <v>admissions@allegheny.edu</v>
      </c>
      <c r="C24" s="65" t="str">
        <f>'CDS-A'!D53</f>
        <v>admissions@allegheny.edu</v>
      </c>
      <c r="D24" s="17" t="s">
        <v>13</v>
      </c>
      <c r="E24" s="48">
        <v>22</v>
      </c>
      <c r="F24" s="16" t="s">
        <v>29</v>
      </c>
      <c r="G24" s="16"/>
    </row>
    <row r="25" spans="1:7" ht="17" x14ac:dyDescent="0.2">
      <c r="A25" s="44" t="s">
        <v>42</v>
      </c>
      <c r="B25" s="257" t="str" cm="1">
        <f t="array" aca="1" ref="B25" ca="1">IF(ISBLANK(INDIRECT(MID(_xlfn.FORMULATEXT(C25),2,LEN(_xlfn.FORMULATEXT(C25))-1)))=TRUE,"",C25)</f>
        <v>https://allegheny.edu</v>
      </c>
      <c r="C25" s="75" t="str">
        <f>'CDS-A'!D41</f>
        <v>https://allegheny.edu</v>
      </c>
      <c r="D25" s="17" t="s">
        <v>13</v>
      </c>
      <c r="E25" s="48">
        <v>23</v>
      </c>
      <c r="F25" s="16" t="s">
        <v>32</v>
      </c>
      <c r="G25" s="16"/>
    </row>
    <row r="26" spans="1:7" ht="17" x14ac:dyDescent="0.2">
      <c r="A26" s="64" t="s">
        <v>43</v>
      </c>
      <c r="B26" s="257" t="str" cm="1">
        <f t="array" aca="1" ref="B26" ca="1">IF(ISBLANK(INDIRECT(MID(_xlfn.FORMULATEXT(C26),2,LEN(_xlfn.FORMULATEXT(C26))-1)))=TRUE,"",C26)</f>
        <v>https://allegheny.edu</v>
      </c>
      <c r="C26" s="65" t="str">
        <f>'CDS-A'!D52</f>
        <v>https://allegheny.edu</v>
      </c>
      <c r="D26" s="17" t="s">
        <v>13</v>
      </c>
      <c r="E26" s="48">
        <v>24</v>
      </c>
      <c r="F26" s="16" t="s">
        <v>32</v>
      </c>
      <c r="G26" s="16"/>
    </row>
    <row r="27" spans="1:7" ht="17" x14ac:dyDescent="0.2">
      <c r="A27" s="44" t="s">
        <v>44</v>
      </c>
      <c r="B27" s="257" t="str" cm="1">
        <f t="array" aca="1" ref="B27" ca="1">IF(ISBLANK(INDIRECT(MID(_xlfn.FORMULATEXT(C27),2,LEN(_xlfn.FORMULATEXT(C27))-1)))=TRUE,"",C27)</f>
        <v>https://sites.allegheny.edu/admissions/apply</v>
      </c>
      <c r="C27" s="65" t="str">
        <f>'CDS-A'!D56</f>
        <v>https://sites.allegheny.edu/admissions/apply</v>
      </c>
      <c r="D27" s="17" t="s">
        <v>13</v>
      </c>
      <c r="E27" s="48">
        <v>25</v>
      </c>
      <c r="F27" s="16" t="s">
        <v>32</v>
      </c>
      <c r="G27" s="16"/>
    </row>
    <row r="28" spans="1:7" ht="17" x14ac:dyDescent="0.2">
      <c r="A28" s="44" t="s">
        <v>45</v>
      </c>
      <c r="B28" s="257" t="str" cm="1">
        <f t="array" aca="1" ref="B28" ca="1">IF(ISBLANK(INDIRECT(MID(_xlfn.FORMULATEXT(C28),2,LEN(_xlfn.FORMULATEXT(C28))-1)))=TRUE,"",C28)</f>
        <v/>
      </c>
      <c r="C28" s="65">
        <f>'CDS-A'!D61</f>
        <v>0</v>
      </c>
      <c r="D28" s="17" t="s">
        <v>13</v>
      </c>
      <c r="E28" s="48">
        <v>26</v>
      </c>
      <c r="F28" s="16" t="s">
        <v>14</v>
      </c>
      <c r="G28" s="16"/>
    </row>
    <row r="29" spans="1:7" ht="17" x14ac:dyDescent="0.2">
      <c r="A29" s="44" t="s">
        <v>46</v>
      </c>
      <c r="B29" s="257" t="str" cm="1">
        <f t="array" aca="1" ref="B29" ca="1">IF(ISBLANK(INDIRECT(MID(_xlfn.FORMULATEXT(C29),2,LEN(_xlfn.FORMULATEXT(C29))-1)))=TRUE,"",C29)</f>
        <v>Private (Nonprofit)</v>
      </c>
      <c r="C29" s="65" t="str">
        <f>'CDS-A'!D64</f>
        <v>Private (Nonprofit)</v>
      </c>
      <c r="D29" s="17" t="s">
        <v>13</v>
      </c>
      <c r="E29" s="48">
        <v>27</v>
      </c>
      <c r="F29" s="16" t="s">
        <v>21</v>
      </c>
      <c r="G29" s="16"/>
    </row>
    <row r="30" spans="1:7" ht="17" x14ac:dyDescent="0.2">
      <c r="A30" s="64" t="s">
        <v>47</v>
      </c>
      <c r="B30" s="257" t="str" cm="1">
        <f t="array" aca="1" ref="B30" ca="1">IF(ISBLANK(INDIRECT(MID(_xlfn.FORMULATEXT(C30),2,LEN(_xlfn.FORMULATEXT(C30))-1)))=TRUE,"",C30)</f>
        <v>Coeducational</v>
      </c>
      <c r="C30" s="65" t="str">
        <f>'CDS-A'!D67</f>
        <v>Coeducational</v>
      </c>
      <c r="D30" s="17" t="s">
        <v>13</v>
      </c>
      <c r="E30" s="48">
        <v>28</v>
      </c>
      <c r="F30" s="16" t="s">
        <v>21</v>
      </c>
      <c r="G30" s="16"/>
    </row>
    <row r="31" spans="1:7" ht="17" x14ac:dyDescent="0.2">
      <c r="A31" s="64" t="s">
        <v>48</v>
      </c>
      <c r="B31" s="257" t="str" cm="1">
        <f t="array" aca="1" ref="B31" ca="1">IF(ISBLANK(INDIRECT(MID(_xlfn.FORMULATEXT(C31),2,LEN(_xlfn.FORMULATEXT(C31))-1)))=TRUE,"",C31)</f>
        <v>Semester</v>
      </c>
      <c r="C31" s="65" t="str">
        <f>'CDS-A'!D70</f>
        <v>Semester</v>
      </c>
      <c r="D31" s="17" t="s">
        <v>13</v>
      </c>
      <c r="E31" s="48">
        <v>29</v>
      </c>
      <c r="F31" s="16" t="s">
        <v>21</v>
      </c>
      <c r="G31" s="16"/>
    </row>
    <row r="32" spans="1:7" ht="17" x14ac:dyDescent="0.2">
      <c r="A32" s="64" t="s">
        <v>49</v>
      </c>
      <c r="B32" s="257" t="str" cm="1">
        <f t="array" aca="1" ref="B32" ca="1">IF(ISBLANK(INDIRECT(MID(_xlfn.FORMULATEXT(C32),2,LEN(_xlfn.FORMULATEXT(C32))-1)))=TRUE,"",C32)</f>
        <v/>
      </c>
      <c r="C32" s="65">
        <f>'CDS-A'!D73</f>
        <v>0</v>
      </c>
      <c r="D32" s="17" t="s">
        <v>13</v>
      </c>
      <c r="E32" s="48">
        <v>30</v>
      </c>
      <c r="F32" s="16" t="s">
        <v>14</v>
      </c>
      <c r="G32" s="16"/>
    </row>
    <row r="33" spans="1:8" ht="85" x14ac:dyDescent="0.2">
      <c r="A33" s="64" t="s">
        <v>50</v>
      </c>
      <c r="B33" s="257" t="str" cm="1">
        <f t="array" aca="1" ref="B33" ca="1">IF(ISBLANK(INDIRECT(MID(_xlfn.FORMULATEXT(C33),2,LEN(_xlfn.FORMULATEXT(C33))-1)))=TRUE,"",C33)</f>
        <v>Bachelor's|</v>
      </c>
      <c r="C33" s="65" t="str">
        <f>_xlfn.CONCAT('multi select'!B2:B13)</f>
        <v>Bachelor's|</v>
      </c>
      <c r="D33" s="17" t="s">
        <v>13</v>
      </c>
      <c r="E33" s="48">
        <v>31</v>
      </c>
      <c r="F33" s="16" t="s">
        <v>51</v>
      </c>
      <c r="G33" s="16"/>
    </row>
    <row r="34" spans="1:8" ht="17" x14ac:dyDescent="0.2">
      <c r="A34" s="44" t="s">
        <v>52</v>
      </c>
      <c r="B34" s="257" t="str" cm="1">
        <f t="array" aca="1" ref="B34" ca="1">IF(ISBLANK(INDIRECT(MID(_xlfn.FORMULATEXT(C34),2,LEN(_xlfn.FORMULATEXT(C34))-1)))=TRUE,"",C34)</f>
        <v>https://sites.allegheny.edu/diversity-equity-inclusion/</v>
      </c>
      <c r="C34" s="65" t="str">
        <f>'CDS-A'!D96</f>
        <v>https://sites.allegheny.edu/diversity-equity-inclusion/</v>
      </c>
      <c r="D34" s="17" t="s">
        <v>13</v>
      </c>
      <c r="E34" s="48">
        <v>32</v>
      </c>
      <c r="F34" s="16" t="s">
        <v>53</v>
      </c>
      <c r="G34" s="16"/>
    </row>
    <row r="35" spans="1:8" ht="17" x14ac:dyDescent="0.2">
      <c r="A35" s="64" t="s">
        <v>54</v>
      </c>
      <c r="B35" s="257" cm="1">
        <f t="array" aca="1" ref="B35" ca="1">IF(ISBLANK(INDIRECT(MID(_xlfn.FORMULATEXT(C35),2,LEN(_xlfn.FORMULATEXT(C35))-1)))=TRUE,"",C35)</f>
        <v>141</v>
      </c>
      <c r="C35" s="258">
        <f>'CDS-B'!B10</f>
        <v>141</v>
      </c>
      <c r="D35" s="17" t="s">
        <v>55</v>
      </c>
      <c r="E35" s="48">
        <v>1</v>
      </c>
      <c r="F35" s="17" t="s">
        <v>384</v>
      </c>
      <c r="G35" s="17"/>
      <c r="H35" s="27"/>
    </row>
    <row r="36" spans="1:8" x14ac:dyDescent="0.2">
      <c r="A36" s="64" t="s">
        <v>56</v>
      </c>
      <c r="B36" s="257" cm="1">
        <f t="array" aca="1" ref="B36" ca="1">IF(ISBLANK(INDIRECT(MID(_xlfn.FORMULATEXT(C36),2,LEN(_xlfn.FORMULATEXT(C36))-1)))=TRUE,"",C36)</f>
        <v>0</v>
      </c>
      <c r="C36" s="258">
        <f>'CDS-B'!C10</f>
        <v>0</v>
      </c>
      <c r="D36" s="17" t="s">
        <v>55</v>
      </c>
      <c r="E36" s="48">
        <v>2</v>
      </c>
      <c r="F36" s="17" t="s">
        <v>384</v>
      </c>
      <c r="G36" s="17"/>
      <c r="H36" s="27"/>
    </row>
    <row r="37" spans="1:8" x14ac:dyDescent="0.2">
      <c r="A37" s="44" t="s">
        <v>57</v>
      </c>
      <c r="B37" s="257" cm="1">
        <f t="array" aca="1" ref="B37" ca="1">IF(ISBLANK(INDIRECT(MID(_xlfn.FORMULATEXT(C37),2,LEN(_xlfn.FORMULATEXT(C37))-1)))=TRUE,"",C37)</f>
        <v>140</v>
      </c>
      <c r="C37" s="258">
        <f>'CDS-B'!D10</f>
        <v>140</v>
      </c>
      <c r="D37" s="17" t="s">
        <v>55</v>
      </c>
      <c r="E37" s="48">
        <v>3</v>
      </c>
      <c r="F37" s="17" t="s">
        <v>384</v>
      </c>
      <c r="G37" s="17"/>
      <c r="H37" s="27"/>
    </row>
    <row r="38" spans="1:8" x14ac:dyDescent="0.2">
      <c r="A38" s="64" t="s">
        <v>58</v>
      </c>
      <c r="B38" s="257" cm="1">
        <f t="array" aca="1" ref="B38" ca="1">IF(ISBLANK(INDIRECT(MID(_xlfn.FORMULATEXT(C38),2,LEN(_xlfn.FORMULATEXT(C38))-1)))=TRUE,"",C38)</f>
        <v>0</v>
      </c>
      <c r="C38" s="258">
        <f>'CDS-B'!E10</f>
        <v>0</v>
      </c>
      <c r="D38" s="17" t="s">
        <v>55</v>
      </c>
      <c r="E38" s="48">
        <v>4</v>
      </c>
      <c r="F38" s="17" t="s">
        <v>384</v>
      </c>
      <c r="G38" s="17"/>
      <c r="H38" s="27"/>
    </row>
    <row r="39" spans="1:8" x14ac:dyDescent="0.2">
      <c r="A39" s="64" t="s">
        <v>59</v>
      </c>
      <c r="B39" s="257" cm="1">
        <f t="array" aca="1" ref="B39" ca="1">IF(ISBLANK(INDIRECT(MID(_xlfn.FORMULATEXT(C39),2,LEN(_xlfn.FORMULATEXT(C39))-1)))=TRUE,"",C39)</f>
        <v>1</v>
      </c>
      <c r="C39" s="258">
        <f>'CDS-B'!F10</f>
        <v>1</v>
      </c>
      <c r="D39" s="17" t="s">
        <v>55</v>
      </c>
      <c r="E39" s="48">
        <v>5</v>
      </c>
      <c r="F39" s="17" t="s">
        <v>384</v>
      </c>
      <c r="G39" s="17"/>
      <c r="H39" s="27"/>
    </row>
    <row r="40" spans="1:8" x14ac:dyDescent="0.2">
      <c r="A40" s="44" t="s">
        <v>60</v>
      </c>
      <c r="B40" s="257" cm="1">
        <f t="array" aca="1" ref="B40" ca="1">IF(ISBLANK(INDIRECT(MID(_xlfn.FORMULATEXT(C40),2,LEN(_xlfn.FORMULATEXT(C40))-1)))=TRUE,"",C40)</f>
        <v>0</v>
      </c>
      <c r="C40" s="258">
        <f>'CDS-B'!G10</f>
        <v>0</v>
      </c>
      <c r="D40" s="17" t="s">
        <v>55</v>
      </c>
      <c r="E40" s="48">
        <v>6</v>
      </c>
      <c r="F40" s="17" t="s">
        <v>384</v>
      </c>
      <c r="G40" s="17"/>
      <c r="H40" s="27"/>
    </row>
    <row r="41" spans="1:8" x14ac:dyDescent="0.2">
      <c r="A41" s="64" t="s">
        <v>61</v>
      </c>
      <c r="B41" s="257" cm="1">
        <f t="array" aca="1" ref="B41" ca="1">IF(ISBLANK(INDIRECT(MID(_xlfn.FORMULATEXT(C41),2,LEN(_xlfn.FORMULATEXT(C41))-1)))=TRUE,"",C41)</f>
        <v>15</v>
      </c>
      <c r="C41" s="258">
        <f>'CDS-B'!B11</f>
        <v>15</v>
      </c>
      <c r="D41" s="17" t="s">
        <v>55</v>
      </c>
      <c r="E41" s="48">
        <v>7</v>
      </c>
      <c r="F41" s="17" t="s">
        <v>384</v>
      </c>
      <c r="G41" s="17"/>
      <c r="H41" s="27"/>
    </row>
    <row r="42" spans="1:8" x14ac:dyDescent="0.2">
      <c r="A42" s="44" t="s">
        <v>62</v>
      </c>
      <c r="B42" s="257" cm="1">
        <f t="array" aca="1" ref="B42" ca="1">IF(ISBLANK(INDIRECT(MID(_xlfn.FORMULATEXT(C42),2,LEN(_xlfn.FORMULATEXT(C42))-1)))=TRUE,"",C42)</f>
        <v>1</v>
      </c>
      <c r="C42" s="258">
        <f>'CDS-B'!C11</f>
        <v>1</v>
      </c>
      <c r="D42" s="17" t="s">
        <v>55</v>
      </c>
      <c r="E42" s="48">
        <v>8</v>
      </c>
      <c r="F42" s="17" t="s">
        <v>384</v>
      </c>
      <c r="G42" s="17"/>
      <c r="H42" s="27"/>
    </row>
    <row r="43" spans="1:8" x14ac:dyDescent="0.2">
      <c r="A43" s="44" t="s">
        <v>63</v>
      </c>
      <c r="B43" s="257" cm="1">
        <f t="array" aca="1" ref="B43" ca="1">IF(ISBLANK(INDIRECT(MID(_xlfn.FORMULATEXT(C43),2,LEN(_xlfn.FORMULATEXT(C43))-1)))=TRUE,"",C43)</f>
        <v>9</v>
      </c>
      <c r="C43" s="258">
        <f>'CDS-B'!D11</f>
        <v>9</v>
      </c>
      <c r="D43" s="17" t="s">
        <v>55</v>
      </c>
      <c r="E43" s="48">
        <v>9</v>
      </c>
      <c r="F43" s="17" t="s">
        <v>384</v>
      </c>
      <c r="G43" s="17"/>
      <c r="H43" s="27"/>
    </row>
    <row r="44" spans="1:8" x14ac:dyDescent="0.2">
      <c r="A44" s="64" t="s">
        <v>64</v>
      </c>
      <c r="B44" s="257" cm="1">
        <f t="array" aca="1" ref="B44" ca="1">IF(ISBLANK(INDIRECT(MID(_xlfn.FORMULATEXT(C44),2,LEN(_xlfn.FORMULATEXT(C44))-1)))=TRUE,"",C44)</f>
        <v>0</v>
      </c>
      <c r="C44" s="258">
        <f>'CDS-B'!E11</f>
        <v>0</v>
      </c>
      <c r="D44" s="17" t="s">
        <v>55</v>
      </c>
      <c r="E44" s="48">
        <v>10</v>
      </c>
      <c r="F44" s="17" t="s">
        <v>384</v>
      </c>
      <c r="G44" s="17"/>
      <c r="H44" s="27"/>
    </row>
    <row r="45" spans="1:8" x14ac:dyDescent="0.2">
      <c r="A45" s="64" t="s">
        <v>65</v>
      </c>
      <c r="B45" s="257" cm="1">
        <f t="array" aca="1" ref="B45" ca="1">IF(ISBLANK(INDIRECT(MID(_xlfn.FORMULATEXT(C45),2,LEN(_xlfn.FORMULATEXT(C45))-1)))=TRUE,"",C45)</f>
        <v>0</v>
      </c>
      <c r="C45" s="258">
        <f>'CDS-B'!F11</f>
        <v>0</v>
      </c>
      <c r="D45" s="17" t="s">
        <v>55</v>
      </c>
      <c r="E45" s="48">
        <v>11</v>
      </c>
      <c r="F45" s="17" t="s">
        <v>384</v>
      </c>
      <c r="G45" s="17"/>
      <c r="H45" s="27"/>
    </row>
    <row r="46" spans="1:8" x14ac:dyDescent="0.2">
      <c r="A46" s="44" t="s">
        <v>66</v>
      </c>
      <c r="B46" s="257" cm="1">
        <f t="array" aca="1" ref="B46" ca="1">IF(ISBLANK(INDIRECT(MID(_xlfn.FORMULATEXT(C46),2,LEN(_xlfn.FORMULATEXT(C46))-1)))=TRUE,"",C46)</f>
        <v>0</v>
      </c>
      <c r="C46" s="258">
        <f>'CDS-B'!G11</f>
        <v>0</v>
      </c>
      <c r="D46" s="17" t="s">
        <v>55</v>
      </c>
      <c r="E46" s="48">
        <v>12</v>
      </c>
      <c r="F46" s="17" t="s">
        <v>384</v>
      </c>
      <c r="G46" s="17"/>
      <c r="H46" s="27"/>
    </row>
    <row r="47" spans="1:8" x14ac:dyDescent="0.2">
      <c r="A47" s="64" t="s">
        <v>67</v>
      </c>
      <c r="B47" s="257" cm="1">
        <f t="array" aca="1" ref="B47" ca="1">IF(ISBLANK(INDIRECT(MID(_xlfn.FORMULATEXT(C47),2,LEN(_xlfn.FORMULATEXT(C47))-1)))=TRUE,"",C47)</f>
        <v>404</v>
      </c>
      <c r="C47" s="258">
        <f>'CDS-B'!B12</f>
        <v>404</v>
      </c>
      <c r="D47" s="17" t="s">
        <v>55</v>
      </c>
      <c r="E47" s="48">
        <v>13</v>
      </c>
      <c r="F47" s="17" t="s">
        <v>384</v>
      </c>
      <c r="G47" s="17"/>
      <c r="H47" s="27"/>
    </row>
    <row r="48" spans="1:8" x14ac:dyDescent="0.2">
      <c r="A48" s="64" t="s">
        <v>68</v>
      </c>
      <c r="B48" s="257" cm="1">
        <f t="array" aca="1" ref="B48" ca="1">IF(ISBLANK(INDIRECT(MID(_xlfn.FORMULATEXT(C48),2,LEN(_xlfn.FORMULATEXT(C48))-1)))=TRUE,"",C48)</f>
        <v>23</v>
      </c>
      <c r="C48" s="258">
        <f>'CDS-B'!C12</f>
        <v>23</v>
      </c>
      <c r="D48" s="17" t="s">
        <v>55</v>
      </c>
      <c r="E48" s="48">
        <v>14</v>
      </c>
      <c r="F48" s="17" t="s">
        <v>384</v>
      </c>
      <c r="G48" s="17"/>
      <c r="H48" s="27"/>
    </row>
    <row r="49" spans="1:8" x14ac:dyDescent="0.2">
      <c r="A49" s="44" t="s">
        <v>69</v>
      </c>
      <c r="B49" s="257" cm="1">
        <f t="array" aca="1" ref="B49" ca="1">IF(ISBLANK(INDIRECT(MID(_xlfn.FORMULATEXT(C49),2,LEN(_xlfn.FORMULATEXT(C49))-1)))=TRUE,"",C49)</f>
        <v>442</v>
      </c>
      <c r="C49" s="258">
        <f>'CDS-B'!D12</f>
        <v>442</v>
      </c>
      <c r="D49" s="17" t="s">
        <v>55</v>
      </c>
      <c r="E49" s="48">
        <v>15</v>
      </c>
      <c r="F49" s="17" t="s">
        <v>384</v>
      </c>
      <c r="G49" s="17"/>
      <c r="H49" s="27"/>
    </row>
    <row r="50" spans="1:8" x14ac:dyDescent="0.2">
      <c r="A50" s="64" t="s">
        <v>70</v>
      </c>
      <c r="B50" s="257" cm="1">
        <f t="array" aca="1" ref="B50" ca="1">IF(ISBLANK(INDIRECT(MID(_xlfn.FORMULATEXT(C50),2,LEN(_xlfn.FORMULATEXT(C50))-1)))=TRUE,"",C50)</f>
        <v>34</v>
      </c>
      <c r="C50" s="258">
        <f>'CDS-B'!E12</f>
        <v>34</v>
      </c>
      <c r="D50" s="17" t="s">
        <v>55</v>
      </c>
      <c r="E50" s="48">
        <v>16</v>
      </c>
      <c r="F50" s="17" t="s">
        <v>384</v>
      </c>
      <c r="G50" s="17"/>
      <c r="H50" s="27"/>
    </row>
    <row r="51" spans="1:8" x14ac:dyDescent="0.2">
      <c r="A51" s="64" t="s">
        <v>71</v>
      </c>
      <c r="B51" s="257" cm="1">
        <f t="array" aca="1" ref="B51" ca="1">IF(ISBLANK(INDIRECT(MID(_xlfn.FORMULATEXT(C51),2,LEN(_xlfn.FORMULATEXT(C51))-1)))=TRUE,"",C51)</f>
        <v>1</v>
      </c>
      <c r="C51" s="258">
        <f>'CDS-B'!F12</f>
        <v>1</v>
      </c>
      <c r="D51" s="17" t="s">
        <v>55</v>
      </c>
      <c r="E51" s="48">
        <v>17</v>
      </c>
      <c r="F51" s="17" t="s">
        <v>384</v>
      </c>
      <c r="G51" s="17"/>
      <c r="H51" s="27"/>
    </row>
    <row r="52" spans="1:8" x14ac:dyDescent="0.2">
      <c r="A52" s="44" t="s">
        <v>72</v>
      </c>
      <c r="B52" s="257" cm="1">
        <f t="array" aca="1" ref="B52" ca="1">IF(ISBLANK(INDIRECT(MID(_xlfn.FORMULATEXT(C52),2,LEN(_xlfn.FORMULATEXT(C52))-1)))=TRUE,"",C52)</f>
        <v>0</v>
      </c>
      <c r="C52" s="258">
        <f>'CDS-B'!G12</f>
        <v>0</v>
      </c>
      <c r="D52" s="17" t="s">
        <v>55</v>
      </c>
      <c r="E52" s="48">
        <v>18</v>
      </c>
      <c r="F52" s="17" t="s">
        <v>384</v>
      </c>
      <c r="G52" s="17"/>
      <c r="H52" s="27"/>
    </row>
    <row r="53" spans="1:8" x14ac:dyDescent="0.2">
      <c r="A53" s="64" t="s">
        <v>73</v>
      </c>
      <c r="B53" s="257" cm="1">
        <f t="array" aca="1" ref="B53" ca="1">IF(ISBLANK(INDIRECT(MID(_xlfn.FORMULATEXT(C53),2,LEN(_xlfn.FORMULATEXT(C53))-1)))=TRUE,"",C53)</f>
        <v>560</v>
      </c>
      <c r="C53" s="258">
        <f>'CDS-B'!B13</f>
        <v>560</v>
      </c>
      <c r="D53" s="17" t="s">
        <v>55</v>
      </c>
      <c r="E53" s="48">
        <v>19</v>
      </c>
      <c r="F53" s="17" t="s">
        <v>74</v>
      </c>
      <c r="G53" s="17"/>
      <c r="H53" s="27"/>
    </row>
    <row r="54" spans="1:8" x14ac:dyDescent="0.2">
      <c r="A54" s="64" t="s">
        <v>75</v>
      </c>
      <c r="B54" s="257" cm="1">
        <f t="array" aca="1" ref="B54" ca="1">IF(ISBLANK(INDIRECT(MID(_xlfn.FORMULATEXT(C54),2,LEN(_xlfn.FORMULATEXT(C54))-1)))=TRUE,"",C54)</f>
        <v>24</v>
      </c>
      <c r="C54" s="258">
        <f>'CDS-B'!C13</f>
        <v>24</v>
      </c>
      <c r="D54" s="17" t="s">
        <v>55</v>
      </c>
      <c r="E54" s="48">
        <v>20</v>
      </c>
      <c r="F54" s="17" t="s">
        <v>74</v>
      </c>
      <c r="G54" s="17"/>
      <c r="H54" s="27"/>
    </row>
    <row r="55" spans="1:8" x14ac:dyDescent="0.2">
      <c r="A55" s="44" t="s">
        <v>76</v>
      </c>
      <c r="B55" s="257" cm="1">
        <f t="array" aca="1" ref="B55" ca="1">IF(ISBLANK(INDIRECT(MID(_xlfn.FORMULATEXT(C55),2,LEN(_xlfn.FORMULATEXT(C55))-1)))=TRUE,"",C55)</f>
        <v>591</v>
      </c>
      <c r="C55" s="258">
        <f>'CDS-B'!D13</f>
        <v>591</v>
      </c>
      <c r="D55" s="17" t="s">
        <v>55</v>
      </c>
      <c r="E55" s="48">
        <v>21</v>
      </c>
      <c r="F55" s="17" t="s">
        <v>74</v>
      </c>
      <c r="G55" s="17"/>
      <c r="H55" s="27"/>
    </row>
    <row r="56" spans="1:8" x14ac:dyDescent="0.2">
      <c r="A56" s="64" t="s">
        <v>77</v>
      </c>
      <c r="B56" s="257" cm="1">
        <f t="array" aca="1" ref="B56" ca="1">IF(ISBLANK(INDIRECT(MID(_xlfn.FORMULATEXT(C56),2,LEN(_xlfn.FORMULATEXT(C56))-1)))=TRUE,"",C56)</f>
        <v>34</v>
      </c>
      <c r="C56" s="258">
        <f>'CDS-B'!E13</f>
        <v>34</v>
      </c>
      <c r="D56" s="17" t="s">
        <v>55</v>
      </c>
      <c r="E56" s="48">
        <v>22</v>
      </c>
      <c r="F56" s="17" t="s">
        <v>74</v>
      </c>
      <c r="G56" s="17"/>
      <c r="H56" s="27"/>
    </row>
    <row r="57" spans="1:8" x14ac:dyDescent="0.2">
      <c r="A57" s="44" t="s">
        <v>78</v>
      </c>
      <c r="B57" s="257" cm="1">
        <f t="array" aca="1" ref="B57" ca="1">IF(ISBLANK(INDIRECT(MID(_xlfn.FORMULATEXT(C57),2,LEN(_xlfn.FORMULATEXT(C57))-1)))=TRUE,"",C57)</f>
        <v>2</v>
      </c>
      <c r="C57" s="258">
        <f>'CDS-B'!F13</f>
        <v>2</v>
      </c>
      <c r="D57" s="17" t="s">
        <v>55</v>
      </c>
      <c r="E57" s="48">
        <v>23</v>
      </c>
      <c r="F57" s="17" t="s">
        <v>74</v>
      </c>
      <c r="G57" s="17"/>
      <c r="H57" s="27"/>
    </row>
    <row r="58" spans="1:8" x14ac:dyDescent="0.2">
      <c r="A58" s="44" t="s">
        <v>79</v>
      </c>
      <c r="B58" s="257" cm="1">
        <f t="array" aca="1" ref="B58" ca="1">IF(ISBLANK(INDIRECT(MID(_xlfn.FORMULATEXT(C58),2,LEN(_xlfn.FORMULATEXT(C58))-1)))=TRUE,"",C58)</f>
        <v>0</v>
      </c>
      <c r="C58" s="258">
        <f>'CDS-B'!G13</f>
        <v>0</v>
      </c>
      <c r="D58" s="17" t="s">
        <v>55</v>
      </c>
      <c r="E58" s="48">
        <v>24</v>
      </c>
      <c r="F58" s="17" t="s">
        <v>74</v>
      </c>
      <c r="G58" s="17"/>
      <c r="H58" s="27"/>
    </row>
    <row r="59" spans="1:8" x14ac:dyDescent="0.2">
      <c r="A59" s="64" t="s">
        <v>80</v>
      </c>
      <c r="B59" s="257" cm="1">
        <f t="array" aca="1" ref="B59" ca="1">IF(ISBLANK(INDIRECT(MID(_xlfn.FORMULATEXT(C59),2,LEN(_xlfn.FORMULATEXT(C59))-1)))=TRUE,"",C59)</f>
        <v>1</v>
      </c>
      <c r="C59" s="258">
        <f>'CDS-B'!B14</f>
        <v>1</v>
      </c>
      <c r="D59" s="17" t="s">
        <v>55</v>
      </c>
      <c r="E59" s="48">
        <v>25</v>
      </c>
      <c r="F59" s="89" t="s">
        <v>384</v>
      </c>
      <c r="G59" s="16"/>
    </row>
    <row r="60" spans="1:8" x14ac:dyDescent="0.2">
      <c r="A60" s="64" t="s">
        <v>81</v>
      </c>
      <c r="B60" s="257" cm="1">
        <f t="array" aca="1" ref="B60" ca="1">IF(ISBLANK(INDIRECT(MID(_xlfn.FORMULATEXT(C60),2,LEN(_xlfn.FORMULATEXT(C60))-1)))=TRUE,"",C60)</f>
        <v>7</v>
      </c>
      <c r="C60" s="258">
        <f>'CDS-B'!C14</f>
        <v>7</v>
      </c>
      <c r="D60" s="17" t="s">
        <v>55</v>
      </c>
      <c r="E60" s="48">
        <v>26</v>
      </c>
      <c r="F60" s="89" t="s">
        <v>384</v>
      </c>
      <c r="G60" s="89"/>
      <c r="H60" s="27"/>
    </row>
    <row r="61" spans="1:8" x14ac:dyDescent="0.2">
      <c r="A61" s="64" t="s">
        <v>82</v>
      </c>
      <c r="B61" s="257" cm="1">
        <f t="array" aca="1" ref="B61" ca="1">IF(ISBLANK(INDIRECT(MID(_xlfn.FORMULATEXT(C61),2,LEN(_xlfn.FORMULATEXT(C61))-1)))=TRUE,"",C61)</f>
        <v>1</v>
      </c>
      <c r="C61" s="258">
        <f>'CDS-B'!D14</f>
        <v>1</v>
      </c>
      <c r="D61" s="17" t="s">
        <v>55</v>
      </c>
      <c r="E61" s="48">
        <v>27</v>
      </c>
      <c r="F61" s="89" t="s">
        <v>384</v>
      </c>
      <c r="G61" s="89"/>
      <c r="H61" s="28"/>
    </row>
    <row r="62" spans="1:8" x14ac:dyDescent="0.2">
      <c r="A62" s="64" t="s">
        <v>83</v>
      </c>
      <c r="B62" s="257" cm="1">
        <f t="array" aca="1" ref="B62" ca="1">IF(ISBLANK(INDIRECT(MID(_xlfn.FORMULATEXT(C62),2,LEN(_xlfn.FORMULATEXT(C62))-1)))=TRUE,"",C62)</f>
        <v>10</v>
      </c>
      <c r="C62" s="258">
        <f>'CDS-B'!E14</f>
        <v>10</v>
      </c>
      <c r="D62" s="17" t="s">
        <v>55</v>
      </c>
      <c r="E62" s="48">
        <v>28</v>
      </c>
      <c r="F62" s="89" t="s">
        <v>384</v>
      </c>
      <c r="G62" s="89"/>
      <c r="H62" s="27"/>
    </row>
    <row r="63" spans="1:8" x14ac:dyDescent="0.2">
      <c r="A63" s="64" t="s">
        <v>84</v>
      </c>
      <c r="B63" s="257" cm="1">
        <f t="array" aca="1" ref="B63" ca="1">IF(ISBLANK(INDIRECT(MID(_xlfn.FORMULATEXT(C63),2,LEN(_xlfn.FORMULATEXT(C63))-1)))=TRUE,"",C63)</f>
        <v>0</v>
      </c>
      <c r="C63" s="258">
        <f>'CDS-B'!F14</f>
        <v>0</v>
      </c>
      <c r="D63" s="17" t="s">
        <v>55</v>
      </c>
      <c r="E63" s="48">
        <v>29</v>
      </c>
      <c r="F63" s="89" t="s">
        <v>384</v>
      </c>
      <c r="G63" s="89"/>
      <c r="H63" s="27"/>
    </row>
    <row r="64" spans="1:8" x14ac:dyDescent="0.2">
      <c r="A64" s="44" t="s">
        <v>85</v>
      </c>
      <c r="B64" s="257" cm="1">
        <f t="array" aca="1" ref="B64" ca="1">IF(ISBLANK(INDIRECT(MID(_xlfn.FORMULATEXT(C64),2,LEN(_xlfn.FORMULATEXT(C64))-1)))=TRUE,"",C64)</f>
        <v>3</v>
      </c>
      <c r="C64" s="258">
        <f>'CDS-B'!G14</f>
        <v>3</v>
      </c>
      <c r="D64" s="17" t="s">
        <v>55</v>
      </c>
      <c r="E64" s="48">
        <v>30</v>
      </c>
      <c r="F64" s="89" t="s">
        <v>384</v>
      </c>
      <c r="G64" s="89"/>
      <c r="H64" s="28"/>
    </row>
    <row r="65" spans="1:8" x14ac:dyDescent="0.2">
      <c r="A65" s="44" t="s">
        <v>86</v>
      </c>
      <c r="B65" s="257" cm="1">
        <f t="array" aca="1" ref="B65" ca="1">IF(ISBLANK(INDIRECT(MID(_xlfn.FORMULATEXT(C65),2,LEN(_xlfn.FORMULATEXT(C65))-1)))=TRUE,"",C65)</f>
        <v>561</v>
      </c>
      <c r="C65" s="258">
        <f>'CDS-B'!B15</f>
        <v>561</v>
      </c>
      <c r="D65" s="17" t="s">
        <v>55</v>
      </c>
      <c r="E65" s="48">
        <v>31</v>
      </c>
      <c r="F65" s="17" t="s">
        <v>74</v>
      </c>
      <c r="G65" s="17"/>
      <c r="H65" s="27"/>
    </row>
    <row r="66" spans="1:8" x14ac:dyDescent="0.2">
      <c r="A66" s="64" t="s">
        <v>87</v>
      </c>
      <c r="B66" s="257" cm="1">
        <f t="array" aca="1" ref="B66" ca="1">IF(ISBLANK(INDIRECT(MID(_xlfn.FORMULATEXT(C66),2,LEN(_xlfn.FORMULATEXT(C66))-1)))=TRUE,"",C66)</f>
        <v>31</v>
      </c>
      <c r="C66" s="258">
        <f>'CDS-B'!C15</f>
        <v>31</v>
      </c>
      <c r="D66" s="17" t="s">
        <v>55</v>
      </c>
      <c r="E66" s="48">
        <v>32</v>
      </c>
      <c r="F66" s="17" t="s">
        <v>74</v>
      </c>
      <c r="G66" s="17"/>
      <c r="H66" s="27"/>
    </row>
    <row r="67" spans="1:8" x14ac:dyDescent="0.2">
      <c r="A67" s="64" t="s">
        <v>88</v>
      </c>
      <c r="B67" s="257" cm="1">
        <f t="array" aca="1" ref="B67" ca="1">IF(ISBLANK(INDIRECT(MID(_xlfn.FORMULATEXT(C67),2,LEN(_xlfn.FORMULATEXT(C67))-1)))=TRUE,"",C67)</f>
        <v>592</v>
      </c>
      <c r="C67" s="258">
        <f>'CDS-B'!D15</f>
        <v>592</v>
      </c>
      <c r="D67" s="17" t="s">
        <v>55</v>
      </c>
      <c r="E67" s="48">
        <v>33</v>
      </c>
      <c r="F67" s="17" t="s">
        <v>74</v>
      </c>
      <c r="G67" s="17"/>
      <c r="H67" s="27"/>
    </row>
    <row r="68" spans="1:8" x14ac:dyDescent="0.2">
      <c r="A68" s="44" t="s">
        <v>89</v>
      </c>
      <c r="B68" s="257" cm="1">
        <f t="array" aca="1" ref="B68" ca="1">IF(ISBLANK(INDIRECT(MID(_xlfn.FORMULATEXT(C68),2,LEN(_xlfn.FORMULATEXT(C68))-1)))=TRUE,"",C68)</f>
        <v>44</v>
      </c>
      <c r="C68" s="258">
        <f>'CDS-B'!E15</f>
        <v>44</v>
      </c>
      <c r="D68" s="17" t="s">
        <v>55</v>
      </c>
      <c r="E68" s="48">
        <v>34</v>
      </c>
      <c r="F68" s="17" t="s">
        <v>74</v>
      </c>
      <c r="G68" s="17"/>
      <c r="H68" s="27"/>
    </row>
    <row r="69" spans="1:8" x14ac:dyDescent="0.2">
      <c r="A69" s="64" t="s">
        <v>90</v>
      </c>
      <c r="B69" s="257" cm="1">
        <f t="array" aca="1" ref="B69" ca="1">IF(ISBLANK(INDIRECT(MID(_xlfn.FORMULATEXT(C69),2,LEN(_xlfn.FORMULATEXT(C69))-1)))=TRUE,"",C69)</f>
        <v>2</v>
      </c>
      <c r="C69" s="258">
        <f>'CDS-B'!F15</f>
        <v>2</v>
      </c>
      <c r="D69" s="17" t="s">
        <v>55</v>
      </c>
      <c r="E69" s="48">
        <v>35</v>
      </c>
      <c r="F69" s="17" t="s">
        <v>74</v>
      </c>
      <c r="G69" s="17"/>
      <c r="H69" s="27"/>
    </row>
    <row r="70" spans="1:8" x14ac:dyDescent="0.2">
      <c r="A70" s="64" t="s">
        <v>91</v>
      </c>
      <c r="B70" s="257" cm="1">
        <f t="array" aca="1" ref="B70" ca="1">IF(ISBLANK(INDIRECT(MID(_xlfn.FORMULATEXT(C70),2,LEN(_xlfn.FORMULATEXT(C70))-1)))=TRUE,"",C70)</f>
        <v>3</v>
      </c>
      <c r="C70" s="258">
        <f>'CDS-B'!G15</f>
        <v>3</v>
      </c>
      <c r="D70" s="17" t="s">
        <v>55</v>
      </c>
      <c r="E70" s="48">
        <v>36</v>
      </c>
      <c r="F70" s="17" t="s">
        <v>74</v>
      </c>
      <c r="G70" s="17"/>
      <c r="H70" s="27"/>
    </row>
    <row r="71" spans="1:8" x14ac:dyDescent="0.2">
      <c r="A71" s="44" t="s">
        <v>92</v>
      </c>
      <c r="B71" s="257" cm="1">
        <f t="array" aca="1" ref="B71" ca="1">IF(ISBLANK(INDIRECT(MID(_xlfn.FORMULATEXT(C71),2,LEN(_xlfn.FORMULATEXT(C71))-1)))=TRUE,"",C71)</f>
        <v>58</v>
      </c>
      <c r="C71" s="258">
        <f>'CDS-B'!E16</f>
        <v>58</v>
      </c>
      <c r="D71" s="17" t="s">
        <v>55</v>
      </c>
      <c r="E71" s="48">
        <v>37</v>
      </c>
      <c r="F71" s="17" t="s">
        <v>74</v>
      </c>
      <c r="G71" s="17"/>
      <c r="H71" s="27"/>
    </row>
    <row r="72" spans="1:8" x14ac:dyDescent="0.2">
      <c r="A72" s="64" t="s">
        <v>93</v>
      </c>
      <c r="B72" s="257" cm="1">
        <f t="array" aca="1" ref="B72" ca="1">IF(ISBLANK(INDIRECT(MID(_xlfn.FORMULATEXT(C72),2,LEN(_xlfn.FORMULATEXT(C72))-1)))=TRUE,"",C72)</f>
        <v>1153</v>
      </c>
      <c r="C72" s="258">
        <f>'CDS-B'!E17</f>
        <v>1153</v>
      </c>
      <c r="D72" s="17" t="s">
        <v>55</v>
      </c>
      <c r="E72" s="48">
        <v>38</v>
      </c>
      <c r="F72" s="17" t="s">
        <v>74</v>
      </c>
      <c r="G72" s="17"/>
      <c r="H72" s="27"/>
    </row>
    <row r="73" spans="1:8" x14ac:dyDescent="0.2">
      <c r="A73" s="44" t="s">
        <v>94</v>
      </c>
      <c r="B73" s="257" cm="1">
        <f t="array" aca="1" ref="B73" ca="1">IF(ISBLANK(INDIRECT(MID(_xlfn.FORMULATEXT(C73),2,LEN(_xlfn.FORMULATEXT(C73))-1)))=TRUE,"",C73)</f>
        <v>1211</v>
      </c>
      <c r="C73" s="258">
        <f>'CDS-B'!E18</f>
        <v>1211</v>
      </c>
      <c r="D73" s="17" t="s">
        <v>55</v>
      </c>
      <c r="E73" s="48">
        <v>39</v>
      </c>
      <c r="F73" s="17" t="s">
        <v>74</v>
      </c>
      <c r="G73" s="17"/>
      <c r="H73" s="27"/>
    </row>
    <row r="74" spans="1:8" x14ac:dyDescent="0.2">
      <c r="A74" s="44" t="s">
        <v>95</v>
      </c>
      <c r="B74" s="257" cm="1">
        <f t="array" aca="1" ref="B74" ca="1">IF(ISBLANK(INDIRECT(MID(_xlfn.FORMULATEXT(C74),2,LEN(_xlfn.FORMULATEXT(C74))-1)))=TRUE,"",C74)</f>
        <v>1233</v>
      </c>
      <c r="C74" s="258">
        <f>'CDS-B'!E19</f>
        <v>1233</v>
      </c>
      <c r="D74" s="17" t="s">
        <v>55</v>
      </c>
      <c r="E74" s="48">
        <v>40</v>
      </c>
      <c r="F74" s="17" t="s">
        <v>74</v>
      </c>
      <c r="G74" s="17"/>
      <c r="H74" s="27"/>
    </row>
    <row r="75" spans="1:8" x14ac:dyDescent="0.2">
      <c r="A75" s="64" t="s">
        <v>96</v>
      </c>
      <c r="B75" s="257" cm="1">
        <f t="array" aca="1" ref="B75" ca="1">IF(ISBLANK(INDIRECT(MID(_xlfn.FORMULATEXT(C75),2,LEN(_xlfn.FORMULATEXT(C75))-1)))=TRUE,"",C75)</f>
        <v>0</v>
      </c>
      <c r="C75" s="258">
        <f>'CDS-B'!B24</f>
        <v>0</v>
      </c>
      <c r="D75" s="17" t="s">
        <v>55</v>
      </c>
      <c r="E75" s="48">
        <v>41</v>
      </c>
      <c r="F75" s="17" t="s">
        <v>384</v>
      </c>
      <c r="G75" s="17"/>
      <c r="H75" s="27"/>
    </row>
    <row r="76" spans="1:8" x14ac:dyDescent="0.2">
      <c r="A76" s="64" t="s">
        <v>97</v>
      </c>
      <c r="B76" s="257" cm="1">
        <f t="array" aca="1" ref="B76" ca="1">IF(ISBLANK(INDIRECT(MID(_xlfn.FORMULATEXT(C76),2,LEN(_xlfn.FORMULATEXT(C76))-1)))=TRUE,"",C76)</f>
        <v>0</v>
      </c>
      <c r="C76" s="258">
        <f>'CDS-B'!C24</f>
        <v>0</v>
      </c>
      <c r="D76" s="17" t="s">
        <v>55</v>
      </c>
      <c r="E76" s="48">
        <v>42</v>
      </c>
      <c r="F76" s="17" t="s">
        <v>384</v>
      </c>
      <c r="G76" s="17"/>
      <c r="H76" s="27"/>
    </row>
    <row r="77" spans="1:8" x14ac:dyDescent="0.2">
      <c r="A77" s="64" t="s">
        <v>98</v>
      </c>
      <c r="B77" s="257" cm="1">
        <f t="array" aca="1" ref="B77" ca="1">IF(ISBLANK(INDIRECT(MID(_xlfn.FORMULATEXT(C77),2,LEN(_xlfn.FORMULATEXT(C77))-1)))=TRUE,"",C77)</f>
        <v>0</v>
      </c>
      <c r="C77" s="258">
        <f>'CDS-B'!D24</f>
        <v>0</v>
      </c>
      <c r="D77" s="17" t="s">
        <v>55</v>
      </c>
      <c r="E77" s="48">
        <v>43</v>
      </c>
      <c r="F77" s="17" t="s">
        <v>384</v>
      </c>
      <c r="G77" s="17"/>
      <c r="H77" s="27"/>
    </row>
    <row r="78" spans="1:8" x14ac:dyDescent="0.2">
      <c r="A78" s="64" t="s">
        <v>99</v>
      </c>
      <c r="B78" s="257" cm="1">
        <f t="array" aca="1" ref="B78" ca="1">IF(ISBLANK(INDIRECT(MID(_xlfn.FORMULATEXT(C78),2,LEN(_xlfn.FORMULATEXT(C78))-1)))=TRUE,"",C78)</f>
        <v>0</v>
      </c>
      <c r="C78" s="258">
        <f>'CDS-B'!E24</f>
        <v>0</v>
      </c>
      <c r="D78" s="17" t="s">
        <v>55</v>
      </c>
      <c r="E78" s="48">
        <v>44</v>
      </c>
      <c r="F78" s="17" t="s">
        <v>384</v>
      </c>
      <c r="G78" s="17"/>
      <c r="H78" s="27"/>
    </row>
    <row r="79" spans="1:8" x14ac:dyDescent="0.2">
      <c r="A79" s="64" t="s">
        <v>100</v>
      </c>
      <c r="B79" s="257" cm="1">
        <f t="array" aca="1" ref="B79" ca="1">IF(ISBLANK(INDIRECT(MID(_xlfn.FORMULATEXT(C79),2,LEN(_xlfn.FORMULATEXT(C79))-1)))=TRUE,"",C79)</f>
        <v>0</v>
      </c>
      <c r="C79" s="258">
        <f>'CDS-B'!F24</f>
        <v>0</v>
      </c>
      <c r="D79" s="17" t="s">
        <v>55</v>
      </c>
      <c r="E79" s="48">
        <v>45</v>
      </c>
      <c r="F79" s="17" t="s">
        <v>384</v>
      </c>
      <c r="G79" s="17"/>
      <c r="H79" s="27"/>
    </row>
    <row r="80" spans="1:8" x14ac:dyDescent="0.2">
      <c r="A80" s="64" t="s">
        <v>101</v>
      </c>
      <c r="B80" s="257" cm="1">
        <f t="array" aca="1" ref="B80" ca="1">IF(ISBLANK(INDIRECT(MID(_xlfn.FORMULATEXT(C80),2,LEN(_xlfn.FORMULATEXT(C80))-1)))=TRUE,"",C80)</f>
        <v>0</v>
      </c>
      <c r="C80" s="258">
        <f>'CDS-B'!G24</f>
        <v>0</v>
      </c>
      <c r="D80" s="17" t="s">
        <v>55</v>
      </c>
      <c r="E80" s="48">
        <v>46</v>
      </c>
      <c r="F80" s="17" t="s">
        <v>384</v>
      </c>
      <c r="G80" s="17"/>
      <c r="H80" s="27"/>
    </row>
    <row r="81" spans="1:8" x14ac:dyDescent="0.2">
      <c r="A81" s="64" t="s">
        <v>102</v>
      </c>
      <c r="B81" s="257" cm="1">
        <f t="array" aca="1" ref="B81" ca="1">IF(ISBLANK(INDIRECT(MID(_xlfn.FORMULATEXT(C81),2,LEN(_xlfn.FORMULATEXT(C81))-1)))=TRUE,"",C81)</f>
        <v>0</v>
      </c>
      <c r="C81" s="258">
        <f>'CDS-B'!B25</f>
        <v>0</v>
      </c>
      <c r="D81" s="17" t="s">
        <v>55</v>
      </c>
      <c r="E81" s="48">
        <v>47</v>
      </c>
      <c r="F81" s="17" t="s">
        <v>384</v>
      </c>
      <c r="G81" s="17"/>
      <c r="H81" s="27"/>
    </row>
    <row r="82" spans="1:8" x14ac:dyDescent="0.2">
      <c r="A82" s="64" t="s">
        <v>103</v>
      </c>
      <c r="B82" s="257" cm="1">
        <f t="array" aca="1" ref="B82" ca="1">IF(ISBLANK(INDIRECT(MID(_xlfn.FORMULATEXT(C82),2,LEN(_xlfn.FORMULATEXT(C82))-1)))=TRUE,"",C82)</f>
        <v>0</v>
      </c>
      <c r="C82" s="258">
        <f>'CDS-B'!C25</f>
        <v>0</v>
      </c>
      <c r="D82" s="17" t="s">
        <v>55</v>
      </c>
      <c r="E82" s="48">
        <v>48</v>
      </c>
      <c r="F82" s="17" t="s">
        <v>384</v>
      </c>
      <c r="G82" s="17"/>
      <c r="H82" s="27"/>
    </row>
    <row r="83" spans="1:8" x14ac:dyDescent="0.2">
      <c r="A83" s="64" t="s">
        <v>104</v>
      </c>
      <c r="B83" s="257" cm="1">
        <f t="array" aca="1" ref="B83" ca="1">IF(ISBLANK(INDIRECT(MID(_xlfn.FORMULATEXT(C83),2,LEN(_xlfn.FORMULATEXT(C83))-1)))=TRUE,"",C83)</f>
        <v>0</v>
      </c>
      <c r="C83" s="258">
        <f>'CDS-B'!D25</f>
        <v>0</v>
      </c>
      <c r="D83" s="17" t="s">
        <v>55</v>
      </c>
      <c r="E83" s="48">
        <v>49</v>
      </c>
      <c r="F83" s="17" t="s">
        <v>384</v>
      </c>
      <c r="G83" s="17"/>
      <c r="H83" s="27"/>
    </row>
    <row r="84" spans="1:8" x14ac:dyDescent="0.2">
      <c r="A84" s="64" t="s">
        <v>105</v>
      </c>
      <c r="B84" s="257" cm="1">
        <f t="array" aca="1" ref="B84" ca="1">IF(ISBLANK(INDIRECT(MID(_xlfn.FORMULATEXT(C84),2,LEN(_xlfn.FORMULATEXT(C84))-1)))=TRUE,"",C84)</f>
        <v>0</v>
      </c>
      <c r="C84" s="258">
        <f>'CDS-B'!E25</f>
        <v>0</v>
      </c>
      <c r="D84" s="17" t="s">
        <v>55</v>
      </c>
      <c r="E84" s="48">
        <v>50</v>
      </c>
      <c r="F84" s="17" t="s">
        <v>384</v>
      </c>
      <c r="G84" s="17"/>
      <c r="H84" s="27"/>
    </row>
    <row r="85" spans="1:8" x14ac:dyDescent="0.2">
      <c r="A85" s="64" t="s">
        <v>106</v>
      </c>
      <c r="B85" s="257" cm="1">
        <f t="array" aca="1" ref="B85" ca="1">IF(ISBLANK(INDIRECT(MID(_xlfn.FORMULATEXT(C85),2,LEN(_xlfn.FORMULATEXT(C85))-1)))=TRUE,"",C85)</f>
        <v>0</v>
      </c>
      <c r="C85" s="258">
        <f>'CDS-B'!F25</f>
        <v>0</v>
      </c>
      <c r="D85" s="17" t="s">
        <v>55</v>
      </c>
      <c r="E85" s="48">
        <v>51</v>
      </c>
      <c r="F85" s="17" t="s">
        <v>384</v>
      </c>
      <c r="G85" s="17"/>
      <c r="H85" s="27"/>
    </row>
    <row r="86" spans="1:8" x14ac:dyDescent="0.2">
      <c r="A86" s="64" t="s">
        <v>107</v>
      </c>
      <c r="B86" s="257" cm="1">
        <f t="array" aca="1" ref="B86" ca="1">IF(ISBLANK(INDIRECT(MID(_xlfn.FORMULATEXT(C86),2,LEN(_xlfn.FORMULATEXT(C86))-1)))=TRUE,"",C86)</f>
        <v>0</v>
      </c>
      <c r="C86" s="258">
        <f>'CDS-B'!G25</f>
        <v>0</v>
      </c>
      <c r="D86" s="17" t="s">
        <v>55</v>
      </c>
      <c r="E86" s="48">
        <v>52</v>
      </c>
      <c r="F86" s="17" t="s">
        <v>384</v>
      </c>
      <c r="G86" s="17"/>
      <c r="H86" s="27"/>
    </row>
    <row r="87" spans="1:8" ht="17" x14ac:dyDescent="0.2">
      <c r="A87" s="64" t="s">
        <v>108</v>
      </c>
      <c r="B87" s="257" t="str" cm="1">
        <f t="array" aca="1" ref="B87" ca="1">IF(ISBLANK(INDIRECT(MID(_xlfn.FORMULATEXT(C87),2,LEN(_xlfn.FORMULATEXT(C87))-1)))=TRUE,"",C87)</f>
        <v/>
      </c>
      <c r="C87" s="258">
        <f>'CDS-B'!B26</f>
        <v>0</v>
      </c>
      <c r="D87" s="17" t="s">
        <v>55</v>
      </c>
      <c r="E87" s="48">
        <v>53</v>
      </c>
      <c r="F87" s="17" t="s">
        <v>384</v>
      </c>
      <c r="G87" s="17"/>
      <c r="H87" s="27"/>
    </row>
    <row r="88" spans="1:8" ht="17" x14ac:dyDescent="0.2">
      <c r="A88" s="64" t="s">
        <v>109</v>
      </c>
      <c r="B88" s="257" t="str" cm="1">
        <f t="array" aca="1" ref="B88" ca="1">IF(ISBLANK(INDIRECT(MID(_xlfn.FORMULATEXT(C88),2,LEN(_xlfn.FORMULATEXT(C88))-1)))=TRUE,"",C88)</f>
        <v/>
      </c>
      <c r="C88" s="258">
        <f>'CDS-B'!C26</f>
        <v>0</v>
      </c>
      <c r="D88" s="17" t="s">
        <v>55</v>
      </c>
      <c r="E88" s="48">
        <v>54</v>
      </c>
      <c r="F88" s="17" t="s">
        <v>384</v>
      </c>
      <c r="G88" s="17"/>
      <c r="H88" s="27"/>
    </row>
    <row r="89" spans="1:8" ht="17" x14ac:dyDescent="0.2">
      <c r="A89" s="64" t="s">
        <v>110</v>
      </c>
      <c r="B89" s="257" t="str" cm="1">
        <f t="array" aca="1" ref="B89" ca="1">IF(ISBLANK(INDIRECT(MID(_xlfn.FORMULATEXT(C89),2,LEN(_xlfn.FORMULATEXT(C89))-1)))=TRUE,"",C89)</f>
        <v/>
      </c>
      <c r="C89" s="258">
        <f>'CDS-B'!D26</f>
        <v>0</v>
      </c>
      <c r="D89" s="17" t="s">
        <v>55</v>
      </c>
      <c r="E89" s="48">
        <v>55</v>
      </c>
      <c r="F89" s="17" t="s">
        <v>384</v>
      </c>
      <c r="G89" s="17"/>
      <c r="H89" s="27"/>
    </row>
    <row r="90" spans="1:8" ht="17" x14ac:dyDescent="0.2">
      <c r="A90" s="64" t="s">
        <v>111</v>
      </c>
      <c r="B90" s="257" t="str" cm="1">
        <f t="array" aca="1" ref="B90" ca="1">IF(ISBLANK(INDIRECT(MID(_xlfn.FORMULATEXT(C90),2,LEN(_xlfn.FORMULATEXT(C90))-1)))=TRUE,"",C90)</f>
        <v/>
      </c>
      <c r="C90" s="258">
        <f>'CDS-B'!E26</f>
        <v>0</v>
      </c>
      <c r="D90" s="17" t="s">
        <v>55</v>
      </c>
      <c r="E90" s="48">
        <v>56</v>
      </c>
      <c r="F90" s="17" t="s">
        <v>384</v>
      </c>
      <c r="G90" s="17"/>
      <c r="H90" s="27"/>
    </row>
    <row r="91" spans="1:8" ht="17" x14ac:dyDescent="0.2">
      <c r="A91" s="64" t="s">
        <v>112</v>
      </c>
      <c r="B91" s="257" t="str" cm="1">
        <f t="array" aca="1" ref="B91" ca="1">IF(ISBLANK(INDIRECT(MID(_xlfn.FORMULATEXT(C91),2,LEN(_xlfn.FORMULATEXT(C91))-1)))=TRUE,"",C91)</f>
        <v/>
      </c>
      <c r="C91" s="258">
        <f>'CDS-B'!F26</f>
        <v>0</v>
      </c>
      <c r="D91" s="17" t="s">
        <v>55</v>
      </c>
      <c r="E91" s="48">
        <v>57</v>
      </c>
      <c r="F91" s="17" t="s">
        <v>384</v>
      </c>
      <c r="G91" s="17"/>
      <c r="H91" s="27"/>
    </row>
    <row r="92" spans="1:8" ht="17" x14ac:dyDescent="0.2">
      <c r="A92" s="64" t="s">
        <v>113</v>
      </c>
      <c r="B92" s="257" t="str" cm="1">
        <f t="array" aca="1" ref="B92" ca="1">IF(ISBLANK(INDIRECT(MID(_xlfn.FORMULATEXT(C92),2,LEN(_xlfn.FORMULATEXT(C92))-1)))=TRUE,"",C92)</f>
        <v/>
      </c>
      <c r="C92" s="258">
        <f>'CDS-B'!G26</f>
        <v>0</v>
      </c>
      <c r="D92" s="17" t="s">
        <v>55</v>
      </c>
      <c r="E92" s="48">
        <v>58</v>
      </c>
      <c r="F92" s="17" t="s">
        <v>384</v>
      </c>
      <c r="G92" s="17"/>
      <c r="H92" s="27"/>
    </row>
    <row r="93" spans="1:8" x14ac:dyDescent="0.2">
      <c r="A93" s="44" t="s">
        <v>114</v>
      </c>
      <c r="B93" s="257" cm="1">
        <f t="array" aca="1" ref="B93" ca="1">IF(ISBLANK(INDIRECT(MID(_xlfn.FORMULATEXT(C93),2,LEN(_xlfn.FORMULATEXT(C93))-1)))=TRUE,"",C93)</f>
        <v>0</v>
      </c>
      <c r="C93" s="258">
        <f>'CDS-B'!B27</f>
        <v>0</v>
      </c>
      <c r="D93" s="17" t="s">
        <v>55</v>
      </c>
      <c r="E93" s="48">
        <v>59</v>
      </c>
      <c r="F93" s="17" t="s">
        <v>74</v>
      </c>
      <c r="G93" s="255"/>
      <c r="H93" s="27"/>
    </row>
    <row r="94" spans="1:8" x14ac:dyDescent="0.2">
      <c r="A94" s="44" t="s">
        <v>115</v>
      </c>
      <c r="B94" s="257" cm="1">
        <f t="array" aca="1" ref="B94" ca="1">IF(ISBLANK(INDIRECT(MID(_xlfn.FORMULATEXT(C94),2,LEN(_xlfn.FORMULATEXT(C94))-1)))=TRUE,"",C94)</f>
        <v>0</v>
      </c>
      <c r="C94" s="258">
        <f>'CDS-B'!C27</f>
        <v>0</v>
      </c>
      <c r="D94" s="17" t="s">
        <v>55</v>
      </c>
      <c r="E94" s="48">
        <v>60</v>
      </c>
      <c r="F94" s="17" t="s">
        <v>74</v>
      </c>
      <c r="G94" s="255"/>
      <c r="H94" s="27"/>
    </row>
    <row r="95" spans="1:8" x14ac:dyDescent="0.2">
      <c r="A95" s="44" t="s">
        <v>116</v>
      </c>
      <c r="B95" s="257" cm="1">
        <f t="array" aca="1" ref="B95" ca="1">IF(ISBLANK(INDIRECT(MID(_xlfn.FORMULATEXT(C95),2,LEN(_xlfn.FORMULATEXT(C95))-1)))=TRUE,"",C95)</f>
        <v>0</v>
      </c>
      <c r="C95" s="258">
        <f>'CDS-B'!D27</f>
        <v>0</v>
      </c>
      <c r="D95" s="17" t="s">
        <v>55</v>
      </c>
      <c r="E95" s="48">
        <v>61</v>
      </c>
      <c r="F95" s="17" t="s">
        <v>74</v>
      </c>
      <c r="G95" s="255"/>
      <c r="H95" s="27"/>
    </row>
    <row r="96" spans="1:8" ht="17" x14ac:dyDescent="0.2">
      <c r="A96" s="44" t="s">
        <v>117</v>
      </c>
      <c r="B96" s="257" t="str" cm="1">
        <f t="array" aca="1" ref="B96" ca="1">IF(ISBLANK(INDIRECT(MID(_xlfn.FORMULATEXT(C96),2,LEN(_xlfn.FORMULATEXT(C96))-1)))=TRUE,"",C96)</f>
        <v/>
      </c>
      <c r="C96" s="258">
        <f>'CDS-B'!E26</f>
        <v>0</v>
      </c>
      <c r="D96" s="17" t="s">
        <v>55</v>
      </c>
      <c r="E96" s="48">
        <v>62</v>
      </c>
      <c r="F96" s="17" t="s">
        <v>74</v>
      </c>
      <c r="G96" s="255"/>
      <c r="H96" s="27"/>
    </row>
    <row r="97" spans="1:8" x14ac:dyDescent="0.2">
      <c r="A97" s="44" t="s">
        <v>118</v>
      </c>
      <c r="B97" s="257" cm="1">
        <f t="array" aca="1" ref="B97" ca="1">IF(ISBLANK(INDIRECT(MID(_xlfn.FORMULATEXT(C97),2,LEN(_xlfn.FORMULATEXT(C97))-1)))=TRUE,"",C97)</f>
        <v>0</v>
      </c>
      <c r="C97" s="258">
        <f>'CDS-B'!F27</f>
        <v>0</v>
      </c>
      <c r="D97" s="17" t="s">
        <v>55</v>
      </c>
      <c r="E97" s="48">
        <v>63</v>
      </c>
      <c r="F97" s="17" t="s">
        <v>74</v>
      </c>
      <c r="G97" s="255"/>
      <c r="H97" s="27"/>
    </row>
    <row r="98" spans="1:8" x14ac:dyDescent="0.2">
      <c r="A98" s="44" t="s">
        <v>119</v>
      </c>
      <c r="B98" s="257" cm="1">
        <f t="array" aca="1" ref="B98" ca="1">IF(ISBLANK(INDIRECT(MID(_xlfn.FORMULATEXT(C98),2,LEN(_xlfn.FORMULATEXT(C98))-1)))=TRUE,"",C98)</f>
        <v>0</v>
      </c>
      <c r="C98" s="258">
        <f>'CDS-B'!G27</f>
        <v>0</v>
      </c>
      <c r="D98" s="17" t="s">
        <v>55</v>
      </c>
      <c r="E98" s="48">
        <v>64</v>
      </c>
      <c r="F98" s="17" t="s">
        <v>74</v>
      </c>
      <c r="G98" s="255"/>
      <c r="H98" s="27"/>
    </row>
    <row r="99" spans="1:8" x14ac:dyDescent="0.2">
      <c r="A99" s="44" t="s">
        <v>120</v>
      </c>
      <c r="B99" s="257" cm="1">
        <f t="array" aca="1" ref="B99" ca="1">IF(ISBLANK(INDIRECT(MID(_xlfn.FORMULATEXT(C99),2,LEN(_xlfn.FORMULATEXT(C99))-1)))=TRUE,"",C99)</f>
        <v>0</v>
      </c>
      <c r="C99" s="258">
        <f>'CDS-B'!E32</f>
        <v>0</v>
      </c>
      <c r="D99" s="17" t="s">
        <v>55</v>
      </c>
      <c r="E99" s="48">
        <v>65</v>
      </c>
      <c r="F99" s="17" t="s">
        <v>74</v>
      </c>
      <c r="G99" s="255"/>
      <c r="H99" s="27"/>
    </row>
    <row r="100" spans="1:8" x14ac:dyDescent="0.2">
      <c r="A100" s="44" t="s">
        <v>121</v>
      </c>
      <c r="B100" s="257" cm="1">
        <f t="array" aca="1" ref="B100" ca="1">IF(ISBLANK(INDIRECT(MID(_xlfn.FORMULATEXT(C100),2,LEN(_xlfn.FORMULATEXT(C100))-1)))=TRUE,"",C100)</f>
        <v>17</v>
      </c>
      <c r="C100" s="258">
        <f>'CDS-B'!C44</f>
        <v>17</v>
      </c>
      <c r="D100" s="17" t="s">
        <v>55</v>
      </c>
      <c r="E100" s="48">
        <v>66</v>
      </c>
      <c r="F100" s="17" t="s">
        <v>384</v>
      </c>
      <c r="G100" s="17"/>
      <c r="H100" s="27"/>
    </row>
    <row r="101" spans="1:8" x14ac:dyDescent="0.2">
      <c r="A101" s="44" t="s">
        <v>122</v>
      </c>
      <c r="B101" s="257" cm="1">
        <f t="array" aca="1" ref="B101" ca="1">IF(ISBLANK(INDIRECT(MID(_xlfn.FORMULATEXT(C101),2,LEN(_xlfn.FORMULATEXT(C101))-1)))=TRUE,"",C101)</f>
        <v>23</v>
      </c>
      <c r="C101" s="258">
        <f>'CDS-B'!C45</f>
        <v>23</v>
      </c>
      <c r="D101" s="17" t="s">
        <v>55</v>
      </c>
      <c r="E101" s="48">
        <v>67</v>
      </c>
      <c r="F101" s="17" t="s">
        <v>384</v>
      </c>
      <c r="G101" s="17"/>
      <c r="H101" s="27"/>
    </row>
    <row r="102" spans="1:8" x14ac:dyDescent="0.2">
      <c r="A102" s="44" t="s">
        <v>123</v>
      </c>
      <c r="B102" s="257" cm="1">
        <f t="array" aca="1" ref="B102" ca="1">IF(ISBLANK(INDIRECT(MID(_xlfn.FORMULATEXT(C102),2,LEN(_xlfn.FORMULATEXT(C102))-1)))=TRUE,"",C102)</f>
        <v>31</v>
      </c>
      <c r="C102" s="258">
        <f>'CDS-B'!C46</f>
        <v>31</v>
      </c>
      <c r="D102" s="17" t="s">
        <v>55</v>
      </c>
      <c r="E102" s="48">
        <v>68</v>
      </c>
      <c r="F102" s="17" t="s">
        <v>384</v>
      </c>
      <c r="G102" s="17"/>
      <c r="H102" s="27"/>
    </row>
    <row r="103" spans="1:8" x14ac:dyDescent="0.2">
      <c r="A103" s="44" t="s">
        <v>124</v>
      </c>
      <c r="B103" s="257" cm="1">
        <f t="array" aca="1" ref="B103" ca="1">IF(ISBLANK(INDIRECT(MID(_xlfn.FORMULATEXT(C103),2,LEN(_xlfn.FORMULATEXT(C103))-1)))=TRUE,"",C103)</f>
        <v>196</v>
      </c>
      <c r="C103" s="258">
        <f>'CDS-B'!C47</f>
        <v>196</v>
      </c>
      <c r="D103" s="17" t="s">
        <v>55</v>
      </c>
      <c r="E103" s="48">
        <v>69</v>
      </c>
      <c r="F103" s="17" t="s">
        <v>384</v>
      </c>
      <c r="G103" s="17"/>
      <c r="H103" s="27"/>
    </row>
    <row r="104" spans="1:8" x14ac:dyDescent="0.2">
      <c r="A104" s="44" t="s">
        <v>125</v>
      </c>
      <c r="B104" s="257" cm="1">
        <f t="array" aca="1" ref="B104" ca="1">IF(ISBLANK(INDIRECT(MID(_xlfn.FORMULATEXT(C104),2,LEN(_xlfn.FORMULATEXT(C104))-1)))=TRUE,"",C104)</f>
        <v>0</v>
      </c>
      <c r="C104" s="258">
        <f>'CDS-B'!C48</f>
        <v>0</v>
      </c>
      <c r="D104" s="17" t="s">
        <v>55</v>
      </c>
      <c r="E104" s="48">
        <v>70</v>
      </c>
      <c r="F104" s="17" t="s">
        <v>384</v>
      </c>
      <c r="G104" s="17"/>
      <c r="H104" s="27"/>
    </row>
    <row r="105" spans="1:8" x14ac:dyDescent="0.2">
      <c r="A105" s="44" t="s">
        <v>126</v>
      </c>
      <c r="B105" s="257" cm="1">
        <f t="array" aca="1" ref="B105" ca="1">IF(ISBLANK(INDIRECT(MID(_xlfn.FORMULATEXT(C105),2,LEN(_xlfn.FORMULATEXT(C105))-1)))=TRUE,"",C105)</f>
        <v>6</v>
      </c>
      <c r="C105" s="258">
        <f>'CDS-B'!C49</f>
        <v>6</v>
      </c>
      <c r="D105" s="17" t="s">
        <v>55</v>
      </c>
      <c r="E105" s="48">
        <v>71</v>
      </c>
      <c r="F105" s="17" t="s">
        <v>384</v>
      </c>
      <c r="G105" s="17"/>
      <c r="H105" s="27"/>
    </row>
    <row r="106" spans="1:8" x14ac:dyDescent="0.2">
      <c r="A106" s="44" t="s">
        <v>127</v>
      </c>
      <c r="B106" s="257" cm="1">
        <f t="array" aca="1" ref="B106" ca="1">IF(ISBLANK(INDIRECT(MID(_xlfn.FORMULATEXT(C106),2,LEN(_xlfn.FORMULATEXT(C106))-1)))=TRUE,"",C106)</f>
        <v>0</v>
      </c>
      <c r="C106" s="258">
        <f>'CDS-B'!C50</f>
        <v>0</v>
      </c>
      <c r="D106" s="17" t="s">
        <v>55</v>
      </c>
      <c r="E106" s="48">
        <v>72</v>
      </c>
      <c r="F106" s="17" t="s">
        <v>384</v>
      </c>
      <c r="G106" s="17"/>
      <c r="H106" s="27"/>
    </row>
    <row r="107" spans="1:8" x14ac:dyDescent="0.2">
      <c r="A107" s="44" t="s">
        <v>128</v>
      </c>
      <c r="B107" s="257" cm="1">
        <f t="array" aca="1" ref="B107" ca="1">IF(ISBLANK(INDIRECT(MID(_xlfn.FORMULATEXT(C107),2,LEN(_xlfn.FORMULATEXT(C107))-1)))=TRUE,"",C107)</f>
        <v>9</v>
      </c>
      <c r="C107" s="258">
        <f>'CDS-B'!C51</f>
        <v>9</v>
      </c>
      <c r="D107" s="17" t="s">
        <v>55</v>
      </c>
      <c r="E107" s="48">
        <v>73</v>
      </c>
      <c r="F107" s="17" t="s">
        <v>384</v>
      </c>
      <c r="G107" s="17"/>
      <c r="H107" s="27"/>
    </row>
    <row r="108" spans="1:8" x14ac:dyDescent="0.2">
      <c r="A108" s="44" t="s">
        <v>129</v>
      </c>
      <c r="B108" s="257" cm="1">
        <f t="array" aca="1" ref="B108" ca="1">IF(ISBLANK(INDIRECT(MID(_xlfn.FORMULATEXT(C108),2,LEN(_xlfn.FORMULATEXT(C108))-1)))=TRUE,"",C108)</f>
        <v>0</v>
      </c>
      <c r="C108" s="258">
        <f>'CDS-B'!C52</f>
        <v>0</v>
      </c>
      <c r="D108" s="17" t="s">
        <v>55</v>
      </c>
      <c r="E108" s="48">
        <v>74</v>
      </c>
      <c r="F108" s="17" t="s">
        <v>384</v>
      </c>
      <c r="G108" s="17"/>
    </row>
    <row r="109" spans="1:8" x14ac:dyDescent="0.2">
      <c r="A109" s="44" t="s">
        <v>130</v>
      </c>
      <c r="B109" s="257" cm="1">
        <f t="array" aca="1" ref="B109" ca="1">IF(ISBLANK(INDIRECT(MID(_xlfn.FORMULATEXT(C109),2,LEN(_xlfn.FORMULATEXT(C109))-1)))=TRUE,"",C109)</f>
        <v>282</v>
      </c>
      <c r="C109" s="258">
        <f>'CDS-B'!C53</f>
        <v>282</v>
      </c>
      <c r="D109" s="17" t="s">
        <v>55</v>
      </c>
      <c r="E109" s="48">
        <v>75</v>
      </c>
      <c r="F109" s="17" t="s">
        <v>74</v>
      </c>
      <c r="G109" s="255"/>
      <c r="H109" s="29"/>
    </row>
    <row r="110" spans="1:8" x14ac:dyDescent="0.2">
      <c r="A110" s="44" t="s">
        <v>131</v>
      </c>
      <c r="B110" s="257" cm="1">
        <f t="array" aca="1" ref="B110" ca="1">IF(ISBLANK(INDIRECT(MID(_xlfn.FORMULATEXT(C110),2,LEN(_xlfn.FORMULATEXT(C110))-1)))=TRUE,"",C110)</f>
        <v>63</v>
      </c>
      <c r="C110" s="258">
        <f>'CDS-B'!E44</f>
        <v>63</v>
      </c>
      <c r="D110" s="17" t="s">
        <v>55</v>
      </c>
      <c r="E110" s="48">
        <v>76</v>
      </c>
      <c r="F110" s="17" t="s">
        <v>384</v>
      </c>
      <c r="G110" s="17"/>
      <c r="H110" s="29"/>
    </row>
    <row r="111" spans="1:8" x14ac:dyDescent="0.2">
      <c r="A111" s="44" t="s">
        <v>132</v>
      </c>
      <c r="B111" s="257" cm="1">
        <f t="array" aca="1" ref="B111" ca="1">IF(ISBLANK(INDIRECT(MID(_xlfn.FORMULATEXT(C111),2,LEN(_xlfn.FORMULATEXT(C111))-1)))=TRUE,"",C111)</f>
        <v>96</v>
      </c>
      <c r="C111" s="258">
        <f>'CDS-B'!E45</f>
        <v>96</v>
      </c>
      <c r="D111" s="17" t="s">
        <v>55</v>
      </c>
      <c r="E111" s="48">
        <v>77</v>
      </c>
      <c r="F111" s="17" t="s">
        <v>384</v>
      </c>
      <c r="G111" s="17"/>
      <c r="H111" s="27"/>
    </row>
    <row r="112" spans="1:8" x14ac:dyDescent="0.2">
      <c r="A112" s="44" t="s">
        <v>133</v>
      </c>
      <c r="B112" s="257" cm="1">
        <f t="array" aca="1" ref="B112" ca="1">IF(ISBLANK(INDIRECT(MID(_xlfn.FORMULATEXT(C112),2,LEN(_xlfn.FORMULATEXT(C112))-1)))=TRUE,"",C112)</f>
        <v>97</v>
      </c>
      <c r="C112" s="258">
        <f>'CDS-B'!E46</f>
        <v>97</v>
      </c>
      <c r="D112" s="17" t="s">
        <v>55</v>
      </c>
      <c r="E112" s="48">
        <v>78</v>
      </c>
      <c r="F112" s="17" t="s">
        <v>384</v>
      </c>
      <c r="G112" s="17"/>
      <c r="H112" s="27"/>
    </row>
    <row r="113" spans="1:8" x14ac:dyDescent="0.2">
      <c r="A113" s="44" t="s">
        <v>134</v>
      </c>
      <c r="B113" s="257" cm="1">
        <f t="array" aca="1" ref="B113" ca="1">IF(ISBLANK(INDIRECT(MID(_xlfn.FORMULATEXT(C113),2,LEN(_xlfn.FORMULATEXT(C113))-1)))=TRUE,"",C113)</f>
        <v>841</v>
      </c>
      <c r="C113" s="258">
        <f>'CDS-B'!E47</f>
        <v>841</v>
      </c>
      <c r="D113" s="17" t="s">
        <v>55</v>
      </c>
      <c r="E113" s="48">
        <v>79</v>
      </c>
      <c r="F113" s="17" t="s">
        <v>384</v>
      </c>
      <c r="G113" s="17"/>
      <c r="H113" s="27"/>
    </row>
    <row r="114" spans="1:8" x14ac:dyDescent="0.2">
      <c r="A114" s="44" t="s">
        <v>135</v>
      </c>
      <c r="B114" s="257" cm="1">
        <f t="array" aca="1" ref="B114" ca="1">IF(ISBLANK(INDIRECT(MID(_xlfn.FORMULATEXT(C114),2,LEN(_xlfn.FORMULATEXT(C114))-1)))=TRUE,"",C114)</f>
        <v>1</v>
      </c>
      <c r="C114" s="258">
        <f>'CDS-B'!E48</f>
        <v>1</v>
      </c>
      <c r="D114" s="17" t="s">
        <v>55</v>
      </c>
      <c r="E114" s="48">
        <v>80</v>
      </c>
      <c r="F114" s="17" t="s">
        <v>384</v>
      </c>
      <c r="G114" s="17"/>
      <c r="H114" s="27"/>
    </row>
    <row r="115" spans="1:8" x14ac:dyDescent="0.2">
      <c r="A115" s="44" t="s">
        <v>136</v>
      </c>
      <c r="B115" s="257" cm="1">
        <f t="array" aca="1" ref="B115" ca="1">IF(ISBLANK(INDIRECT(MID(_xlfn.FORMULATEXT(C115),2,LEN(_xlfn.FORMULATEXT(C115))-1)))=TRUE,"",C115)</f>
        <v>35</v>
      </c>
      <c r="C115" s="258">
        <f>'CDS-B'!E49</f>
        <v>35</v>
      </c>
      <c r="D115" s="17" t="s">
        <v>55</v>
      </c>
      <c r="E115" s="48">
        <v>81</v>
      </c>
      <c r="F115" s="17" t="s">
        <v>384</v>
      </c>
      <c r="G115" s="17"/>
      <c r="H115" s="27"/>
    </row>
    <row r="116" spans="1:8" x14ac:dyDescent="0.2">
      <c r="A116" s="44" t="s">
        <v>137</v>
      </c>
      <c r="B116" s="257" cm="1">
        <f t="array" aca="1" ref="B116" ca="1">IF(ISBLANK(INDIRECT(MID(_xlfn.FORMULATEXT(C116),2,LEN(_xlfn.FORMULATEXT(C116))-1)))=TRUE,"",C116)</f>
        <v>0</v>
      </c>
      <c r="C116" s="258">
        <f>'CDS-B'!E50</f>
        <v>0</v>
      </c>
      <c r="D116" s="17" t="s">
        <v>55</v>
      </c>
      <c r="E116" s="48">
        <v>82</v>
      </c>
      <c r="F116" s="17" t="s">
        <v>384</v>
      </c>
      <c r="G116" s="17"/>
      <c r="H116" s="27"/>
    </row>
    <row r="117" spans="1:8" x14ac:dyDescent="0.2">
      <c r="A117" s="44" t="s">
        <v>138</v>
      </c>
      <c r="B117" s="257" cm="1">
        <f t="array" aca="1" ref="B117" ca="1">IF(ISBLANK(INDIRECT(MID(_xlfn.FORMULATEXT(C117),2,LEN(_xlfn.FORMULATEXT(C117))-1)))=TRUE,"",C117)</f>
        <v>51</v>
      </c>
      <c r="C117" s="258">
        <f>'CDS-B'!E51</f>
        <v>51</v>
      </c>
      <c r="D117" s="17" t="s">
        <v>55</v>
      </c>
      <c r="E117" s="48">
        <v>83</v>
      </c>
      <c r="F117" s="17" t="s">
        <v>384</v>
      </c>
      <c r="G117" s="17"/>
      <c r="H117" s="27"/>
    </row>
    <row r="118" spans="1:8" x14ac:dyDescent="0.2">
      <c r="A118" s="44" t="s">
        <v>139</v>
      </c>
      <c r="B118" s="257" cm="1">
        <f t="array" aca="1" ref="B118" ca="1">IF(ISBLANK(INDIRECT(MID(_xlfn.FORMULATEXT(C118),2,LEN(_xlfn.FORMULATEXT(C118))-1)))=TRUE,"",C118)</f>
        <v>27</v>
      </c>
      <c r="C118" s="258">
        <f>'CDS-B'!E52</f>
        <v>27</v>
      </c>
      <c r="D118" s="17" t="s">
        <v>55</v>
      </c>
      <c r="E118" s="48">
        <v>84</v>
      </c>
      <c r="F118" s="17" t="s">
        <v>384</v>
      </c>
      <c r="G118" s="17"/>
      <c r="H118" s="27"/>
    </row>
    <row r="119" spans="1:8" x14ac:dyDescent="0.2">
      <c r="A119" s="44" t="s">
        <v>140</v>
      </c>
      <c r="B119" s="257" cm="1">
        <f t="array" aca="1" ref="B119" ca="1">IF(ISBLANK(INDIRECT(MID(_xlfn.FORMULATEXT(C119),2,LEN(_xlfn.FORMULATEXT(C119))-1)))=TRUE,"",C119)</f>
        <v>1211</v>
      </c>
      <c r="C119" s="258">
        <f>'CDS-B'!E53</f>
        <v>1211</v>
      </c>
      <c r="D119" s="17" t="s">
        <v>55</v>
      </c>
      <c r="E119" s="48">
        <v>85</v>
      </c>
      <c r="F119" s="17" t="s">
        <v>74</v>
      </c>
      <c r="G119" s="17"/>
      <c r="H119" s="27"/>
    </row>
    <row r="120" spans="1:8" x14ac:dyDescent="0.2">
      <c r="A120" s="44" t="s">
        <v>141</v>
      </c>
      <c r="B120" s="257" cm="1">
        <f t="array" aca="1" ref="B120" ca="1">IF(ISBLANK(INDIRECT(MID(_xlfn.FORMULATEXT(C120),2,LEN(_xlfn.FORMULATEXT(C120))-1)))=TRUE,"",C120)</f>
        <v>73</v>
      </c>
      <c r="C120" s="258">
        <f>'CDS-B'!G44</f>
        <v>73</v>
      </c>
      <c r="D120" s="17" t="s">
        <v>55</v>
      </c>
      <c r="E120" s="48">
        <v>86</v>
      </c>
      <c r="F120" s="17" t="s">
        <v>384</v>
      </c>
      <c r="G120" s="17"/>
      <c r="H120" s="27"/>
    </row>
    <row r="121" spans="1:8" x14ac:dyDescent="0.2">
      <c r="A121" s="44" t="s">
        <v>142</v>
      </c>
      <c r="B121" s="257" cm="1">
        <f t="array" aca="1" ref="B121" ca="1">IF(ISBLANK(INDIRECT(MID(_xlfn.FORMULATEXT(C121),2,LEN(_xlfn.FORMULATEXT(C121))-1)))=TRUE,"",C121)</f>
        <v>97</v>
      </c>
      <c r="C121" s="258">
        <f>'CDS-B'!G45</f>
        <v>97</v>
      </c>
      <c r="D121" s="17" t="s">
        <v>55</v>
      </c>
      <c r="E121" s="48">
        <v>87</v>
      </c>
      <c r="F121" s="17" t="s">
        <v>384</v>
      </c>
      <c r="G121" s="17"/>
      <c r="H121" s="27"/>
    </row>
    <row r="122" spans="1:8" x14ac:dyDescent="0.2">
      <c r="A122" s="44" t="s">
        <v>143</v>
      </c>
      <c r="B122" s="257" cm="1">
        <f t="array" aca="1" ref="B122" ca="1">IF(ISBLANK(INDIRECT(MID(_xlfn.FORMULATEXT(C122),2,LEN(_xlfn.FORMULATEXT(C122))-1)))=TRUE,"",C122)</f>
        <v>97</v>
      </c>
      <c r="C122" s="258">
        <f>'CDS-B'!G46</f>
        <v>97</v>
      </c>
      <c r="D122" s="17" t="s">
        <v>55</v>
      </c>
      <c r="E122" s="48">
        <v>88</v>
      </c>
      <c r="F122" s="17" t="s">
        <v>384</v>
      </c>
      <c r="G122" s="17"/>
      <c r="H122" s="27"/>
    </row>
    <row r="123" spans="1:8" x14ac:dyDescent="0.2">
      <c r="A123" s="44" t="s">
        <v>144</v>
      </c>
      <c r="B123" s="257" cm="1">
        <f t="array" aca="1" ref="B123" ca="1">IF(ISBLANK(INDIRECT(MID(_xlfn.FORMULATEXT(C123),2,LEN(_xlfn.FORMULATEXT(C123))-1)))=TRUE,"",C123)</f>
        <v>851</v>
      </c>
      <c r="C123" s="258">
        <f>'CDS-B'!G47</f>
        <v>851</v>
      </c>
      <c r="D123" s="17" t="s">
        <v>55</v>
      </c>
      <c r="E123" s="48">
        <v>89</v>
      </c>
      <c r="F123" s="17" t="s">
        <v>384</v>
      </c>
      <c r="G123" s="17"/>
      <c r="H123" s="27"/>
    </row>
    <row r="124" spans="1:8" x14ac:dyDescent="0.2">
      <c r="A124" s="44" t="s">
        <v>145</v>
      </c>
      <c r="B124" s="257" cm="1">
        <f t="array" aca="1" ref="B124" ca="1">IF(ISBLANK(INDIRECT(MID(_xlfn.FORMULATEXT(C124),2,LEN(_xlfn.FORMULATEXT(C124))-1)))=TRUE,"",C124)</f>
        <v>1</v>
      </c>
      <c r="C124" s="258">
        <f>'CDS-B'!G48</f>
        <v>1</v>
      </c>
      <c r="D124" s="17" t="s">
        <v>55</v>
      </c>
      <c r="E124" s="48">
        <v>90</v>
      </c>
      <c r="F124" s="17" t="s">
        <v>384</v>
      </c>
      <c r="G124" s="17"/>
      <c r="H124" s="27"/>
    </row>
    <row r="125" spans="1:8" x14ac:dyDescent="0.2">
      <c r="A125" s="44" t="s">
        <v>146</v>
      </c>
      <c r="B125" s="257" cm="1">
        <f t="array" aca="1" ref="B125" ca="1">IF(ISBLANK(INDIRECT(MID(_xlfn.FORMULATEXT(C125),2,LEN(_xlfn.FORMULATEXT(C125))-1)))=TRUE,"",C125)</f>
        <v>35</v>
      </c>
      <c r="C125" s="259">
        <f>'CDS-B'!G49</f>
        <v>35</v>
      </c>
      <c r="D125" s="17" t="s">
        <v>55</v>
      </c>
      <c r="E125" s="48">
        <v>91</v>
      </c>
      <c r="F125" s="17" t="s">
        <v>384</v>
      </c>
      <c r="G125" s="17"/>
      <c r="H125" s="27"/>
    </row>
    <row r="126" spans="1:8" x14ac:dyDescent="0.2">
      <c r="A126" s="44" t="s">
        <v>147</v>
      </c>
      <c r="B126" s="257" cm="1">
        <f t="array" aca="1" ref="B126" ca="1">IF(ISBLANK(INDIRECT(MID(_xlfn.FORMULATEXT(C126),2,LEN(_xlfn.FORMULATEXT(C126))-1)))=TRUE,"",C126)</f>
        <v>0</v>
      </c>
      <c r="C126" s="258">
        <f>'CDS-B'!G50</f>
        <v>0</v>
      </c>
      <c r="D126" s="17" t="s">
        <v>55</v>
      </c>
      <c r="E126" s="48">
        <v>92</v>
      </c>
      <c r="F126" s="17" t="s">
        <v>384</v>
      </c>
      <c r="G126" s="17"/>
      <c r="H126" s="27"/>
    </row>
    <row r="127" spans="1:8" x14ac:dyDescent="0.2">
      <c r="A127" s="44" t="s">
        <v>148</v>
      </c>
      <c r="B127" s="257" cm="1">
        <f t="array" aca="1" ref="B127" ca="1">IF(ISBLANK(INDIRECT(MID(_xlfn.FORMULATEXT(C127),2,LEN(_xlfn.FORMULATEXT(C127))-1)))=TRUE,"",C127)</f>
        <v>51</v>
      </c>
      <c r="C127" s="259">
        <f>'CDS-B'!G51</f>
        <v>51</v>
      </c>
      <c r="D127" s="17" t="s">
        <v>55</v>
      </c>
      <c r="E127" s="48">
        <v>93</v>
      </c>
      <c r="F127" s="17" t="s">
        <v>384</v>
      </c>
      <c r="G127" s="17"/>
      <c r="H127" s="27"/>
    </row>
    <row r="128" spans="1:8" x14ac:dyDescent="0.2">
      <c r="A128" s="44" t="s">
        <v>149</v>
      </c>
      <c r="B128" s="257" cm="1">
        <f t="array" aca="1" ref="B128" ca="1">IF(ISBLANK(INDIRECT(MID(_xlfn.FORMULATEXT(C128),2,LEN(_xlfn.FORMULATEXT(C128))-1)))=TRUE,"",C128)</f>
        <v>28</v>
      </c>
      <c r="C128" s="258">
        <f>'CDS-B'!G52</f>
        <v>28</v>
      </c>
      <c r="D128" s="17" t="s">
        <v>55</v>
      </c>
      <c r="E128" s="48">
        <v>94</v>
      </c>
      <c r="F128" s="17" t="s">
        <v>384</v>
      </c>
      <c r="G128" s="17"/>
      <c r="H128" s="27"/>
    </row>
    <row r="129" spans="1:8" x14ac:dyDescent="0.2">
      <c r="A129" s="44" t="s">
        <v>150</v>
      </c>
      <c r="B129" s="257" cm="1">
        <f t="array" aca="1" ref="B129" ca="1">IF(ISBLANK(INDIRECT(MID(_xlfn.FORMULATEXT(C129),2,LEN(_xlfn.FORMULATEXT(C129))-1)))=TRUE,"",C129)</f>
        <v>1233</v>
      </c>
      <c r="C129" s="259">
        <f>'CDS-B'!G53</f>
        <v>1233</v>
      </c>
      <c r="D129" s="17" t="s">
        <v>55</v>
      </c>
      <c r="E129" s="48">
        <v>95</v>
      </c>
      <c r="F129" s="17" t="s">
        <v>74</v>
      </c>
      <c r="G129" s="17"/>
      <c r="H129" s="27"/>
    </row>
    <row r="130" spans="1:8" ht="17" x14ac:dyDescent="0.2">
      <c r="A130" s="44" t="s">
        <v>151</v>
      </c>
      <c r="B130" s="257" t="str" cm="1">
        <f t="array" aca="1" ref="B130" ca="1">IF(ISBLANK(INDIRECT(MID(_xlfn.FORMULATEXT(C130),2,LEN(_xlfn.FORMULATEXT(C130))-1)))=TRUE,"",C130)</f>
        <v/>
      </c>
      <c r="C130" s="258">
        <f>'CDS-B'!B58</f>
        <v>0</v>
      </c>
      <c r="D130" s="17" t="s">
        <v>55</v>
      </c>
      <c r="E130" s="48">
        <v>96</v>
      </c>
      <c r="F130" s="17" t="s">
        <v>384</v>
      </c>
      <c r="G130" s="17"/>
      <c r="H130" s="27"/>
    </row>
    <row r="131" spans="1:8" ht="17" x14ac:dyDescent="0.2">
      <c r="A131" s="44" t="s">
        <v>152</v>
      </c>
      <c r="B131" s="257" t="str" cm="1">
        <f t="array" aca="1" ref="B131" ca="1">IF(ISBLANK(INDIRECT(MID(_xlfn.FORMULATEXT(C131),2,LEN(_xlfn.FORMULATEXT(C131))-1)))=TRUE,"",C131)</f>
        <v/>
      </c>
      <c r="C131" s="258">
        <f>'CDS-B'!F58</f>
        <v>0</v>
      </c>
      <c r="D131" s="17" t="s">
        <v>55</v>
      </c>
      <c r="E131" s="48">
        <v>97</v>
      </c>
      <c r="F131" s="17" t="s">
        <v>384</v>
      </c>
      <c r="G131" s="17"/>
      <c r="H131" s="27"/>
    </row>
    <row r="132" spans="1:8" x14ac:dyDescent="0.2">
      <c r="A132" s="44" t="s">
        <v>153</v>
      </c>
      <c r="B132" s="257" cm="1">
        <f t="array" aca="1" ref="B132" ca="1">IF(ISBLANK(INDIRECT(MID(_xlfn.FORMULATEXT(C132),2,LEN(_xlfn.FORMULATEXT(C132))-1)))=TRUE,"",C132)</f>
        <v>369</v>
      </c>
      <c r="C132" s="258">
        <f>'CDS-B'!B60</f>
        <v>369</v>
      </c>
      <c r="D132" s="17" t="s">
        <v>55</v>
      </c>
      <c r="E132" s="48">
        <v>98</v>
      </c>
      <c r="F132" s="17" t="s">
        <v>384</v>
      </c>
      <c r="G132" s="17"/>
      <c r="H132" s="27"/>
    </row>
    <row r="133" spans="1:8" ht="17" x14ac:dyDescent="0.2">
      <c r="A133" s="44" t="s">
        <v>154</v>
      </c>
      <c r="B133" s="257" t="str" cm="1">
        <f t="array" aca="1" ref="B133" ca="1">IF(ISBLANK(INDIRECT(MID(_xlfn.FORMULATEXT(C133),2,LEN(_xlfn.FORMULATEXT(C133))-1)))=TRUE,"",C133)</f>
        <v/>
      </c>
      <c r="C133" s="258">
        <f>'CDS-B'!F60</f>
        <v>0</v>
      </c>
      <c r="D133" s="17" t="s">
        <v>55</v>
      </c>
      <c r="E133" s="48">
        <v>99</v>
      </c>
      <c r="F133" s="17" t="s">
        <v>384</v>
      </c>
      <c r="G133" s="17"/>
      <c r="H133" s="27"/>
    </row>
    <row r="134" spans="1:8" ht="17" x14ac:dyDescent="0.2">
      <c r="A134" s="44" t="s">
        <v>155</v>
      </c>
      <c r="B134" s="257" t="str" cm="1">
        <f t="array" aca="1" ref="B134" ca="1">IF(ISBLANK(INDIRECT(MID(_xlfn.FORMULATEXT(C134),2,LEN(_xlfn.FORMULATEXT(C134))-1)))=TRUE,"",C134)</f>
        <v/>
      </c>
      <c r="C134" s="258">
        <f>'CDS-B'!B62</f>
        <v>0</v>
      </c>
      <c r="D134" s="17" t="s">
        <v>55</v>
      </c>
      <c r="E134" s="48">
        <v>100</v>
      </c>
      <c r="F134" s="17" t="s">
        <v>384</v>
      </c>
      <c r="G134" s="17"/>
      <c r="H134" s="27"/>
    </row>
    <row r="135" spans="1:8" ht="17" x14ac:dyDescent="0.2">
      <c r="A135" s="44" t="s">
        <v>156</v>
      </c>
      <c r="B135" s="257" t="str" cm="1">
        <f t="array" aca="1" ref="B135" ca="1">IF(ISBLANK(INDIRECT(MID(_xlfn.FORMULATEXT(C135),2,LEN(_xlfn.FORMULATEXT(C135))-1)))=TRUE,"",C135)</f>
        <v/>
      </c>
      <c r="C135" s="258">
        <f>'CDS-B'!F62</f>
        <v>0</v>
      </c>
      <c r="D135" s="17" t="s">
        <v>55</v>
      </c>
      <c r="E135" s="48">
        <v>101</v>
      </c>
      <c r="F135" s="17" t="s">
        <v>384</v>
      </c>
      <c r="G135" s="17"/>
      <c r="H135" s="27"/>
    </row>
    <row r="136" spans="1:8" ht="17" x14ac:dyDescent="0.2">
      <c r="A136" s="44" t="s">
        <v>157</v>
      </c>
      <c r="B136" s="257" t="str" cm="1">
        <f t="array" aca="1" ref="B136" ca="1">IF(ISBLANK(INDIRECT(MID(_xlfn.FORMULATEXT(C136),2,LEN(_xlfn.FORMULATEXT(C136))-1)))=TRUE,"",C136)</f>
        <v/>
      </c>
      <c r="C136" s="258">
        <f>'CDS-B'!B64</f>
        <v>0</v>
      </c>
      <c r="D136" s="17" t="s">
        <v>55</v>
      </c>
      <c r="E136" s="48">
        <v>102</v>
      </c>
      <c r="F136" s="17" t="s">
        <v>384</v>
      </c>
      <c r="G136" s="17"/>
      <c r="H136" s="27"/>
    </row>
    <row r="137" spans="1:8" ht="17" x14ac:dyDescent="0.2">
      <c r="A137" s="44" t="s">
        <v>158</v>
      </c>
      <c r="B137" s="257" t="str" cm="1">
        <f t="array" aca="1" ref="B137" ca="1">IF(ISBLANK(INDIRECT(MID(_xlfn.FORMULATEXT(C137),2,LEN(_xlfn.FORMULATEXT(C137))-1)))=TRUE,"",C137)</f>
        <v/>
      </c>
      <c r="C137" s="258">
        <f>'CDS-B'!F64</f>
        <v>0</v>
      </c>
      <c r="D137" s="17" t="s">
        <v>55</v>
      </c>
      <c r="E137" s="48">
        <v>103</v>
      </c>
      <c r="F137" s="17" t="s">
        <v>384</v>
      </c>
      <c r="G137" s="17"/>
      <c r="H137" s="29"/>
    </row>
    <row r="138" spans="1:8" ht="17" x14ac:dyDescent="0.2">
      <c r="A138" s="44" t="s">
        <v>159</v>
      </c>
      <c r="B138" s="257" t="str" cm="1">
        <f t="array" aca="1" ref="B138" ca="1">IF(ISBLANK(INDIRECT(MID(_xlfn.FORMULATEXT(C138),2,LEN(_xlfn.FORMULATEXT(C138))-1)))=TRUE,"",C138)</f>
        <v/>
      </c>
      <c r="C138" s="258">
        <f>'CDS-B'!B66</f>
        <v>0</v>
      </c>
      <c r="D138" s="17" t="s">
        <v>55</v>
      </c>
      <c r="E138" s="48">
        <v>104</v>
      </c>
      <c r="F138" s="17" t="s">
        <v>384</v>
      </c>
      <c r="G138" s="17"/>
      <c r="H138" s="29"/>
    </row>
    <row r="139" spans="1:8" x14ac:dyDescent="0.2">
      <c r="A139" s="44" t="s">
        <v>160</v>
      </c>
      <c r="B139" s="257" cm="1">
        <f t="array" aca="1" ref="B139" ca="1">IF(ISBLANK(INDIRECT(MID(_xlfn.FORMULATEXT(C139),2,LEN(_xlfn.FORMULATEXT(C139))-1)))=TRUE,"",C139)</f>
        <v>180</v>
      </c>
      <c r="C139" s="258">
        <f>'CDS-B'!D79</f>
        <v>180</v>
      </c>
      <c r="D139" s="17" t="s">
        <v>55</v>
      </c>
      <c r="E139" s="48">
        <v>105</v>
      </c>
      <c r="F139" s="17" t="s">
        <v>384</v>
      </c>
      <c r="G139" s="17"/>
      <c r="H139" s="27" t="s">
        <v>161</v>
      </c>
    </row>
    <row r="140" spans="1:8" x14ac:dyDescent="0.2">
      <c r="A140" s="44" t="s">
        <v>162</v>
      </c>
      <c r="B140" s="257" cm="1">
        <f t="array" aca="1" ref="B140" ca="1">IF(ISBLANK(INDIRECT(MID(_xlfn.FORMULATEXT(C140),2,LEN(_xlfn.FORMULATEXT(C140))-1)))=TRUE,"",C140)</f>
        <v>144</v>
      </c>
      <c r="C140" s="258">
        <f>'CDS-B'!E79</f>
        <v>144</v>
      </c>
      <c r="D140" s="17" t="s">
        <v>55</v>
      </c>
      <c r="E140" s="48">
        <v>106</v>
      </c>
      <c r="F140" s="17" t="s">
        <v>384</v>
      </c>
      <c r="G140" s="17"/>
      <c r="H140" s="27" t="s">
        <v>163</v>
      </c>
    </row>
    <row r="141" spans="1:8" x14ac:dyDescent="0.2">
      <c r="A141" s="44" t="s">
        <v>164</v>
      </c>
      <c r="B141" s="257" cm="1">
        <f t="array" aca="1" ref="B141" ca="1">IF(ISBLANK(INDIRECT(MID(_xlfn.FORMULATEXT(C141),2,LEN(_xlfn.FORMULATEXT(C141))-1)))=TRUE,"",C141)</f>
        <v>157</v>
      </c>
      <c r="C141" s="258">
        <f>'CDS-B'!F79</f>
        <v>157</v>
      </c>
      <c r="D141" s="17" t="s">
        <v>55</v>
      </c>
      <c r="E141" s="48">
        <v>107</v>
      </c>
      <c r="F141" s="17" t="s">
        <v>384</v>
      </c>
      <c r="G141" s="17"/>
      <c r="H141" s="27" t="s">
        <v>165</v>
      </c>
    </row>
    <row r="142" spans="1:8" x14ac:dyDescent="0.2">
      <c r="A142" s="44" t="s">
        <v>166</v>
      </c>
      <c r="B142" s="257" cm="1">
        <f t="array" aca="1" ref="B142" ca="1">IF(ISBLANK(INDIRECT(MID(_xlfn.FORMULATEXT(C142),2,LEN(_xlfn.FORMULATEXT(C142))-1)))=TRUE,"",C142)</f>
        <v>481</v>
      </c>
      <c r="C142" s="258">
        <f>'CDS-B'!G79</f>
        <v>481</v>
      </c>
      <c r="D142" s="17" t="s">
        <v>55</v>
      </c>
      <c r="E142" s="48">
        <v>108</v>
      </c>
      <c r="F142" s="17" t="s">
        <v>74</v>
      </c>
      <c r="G142" s="17"/>
      <c r="H142" s="27" t="s">
        <v>167</v>
      </c>
    </row>
    <row r="143" spans="1:8" ht="17" x14ac:dyDescent="0.2">
      <c r="A143" s="44" t="s">
        <v>168</v>
      </c>
      <c r="B143" s="257" t="str" cm="1">
        <f t="array" aca="1" ref="B143" ca="1">IF(ISBLANK(INDIRECT(MID(_xlfn.FORMULATEXT(C143),2,LEN(_xlfn.FORMULATEXT(C143))-1)))=TRUE,"",C143)</f>
        <v/>
      </c>
      <c r="C143" s="258">
        <f>'CDS-B'!D80</f>
        <v>0</v>
      </c>
      <c r="D143" s="17" t="s">
        <v>55</v>
      </c>
      <c r="E143" s="48">
        <v>109</v>
      </c>
      <c r="F143" s="17" t="s">
        <v>384</v>
      </c>
      <c r="G143" s="17"/>
      <c r="H143" s="27" t="s">
        <v>169</v>
      </c>
    </row>
    <row r="144" spans="1:8" ht="17" x14ac:dyDescent="0.2">
      <c r="A144" s="44" t="s">
        <v>170</v>
      </c>
      <c r="B144" s="257" t="str" cm="1">
        <f t="array" aca="1" ref="B144" ca="1">IF(ISBLANK(INDIRECT(MID(_xlfn.FORMULATEXT(C144),2,LEN(_xlfn.FORMULATEXT(C144))-1)))=TRUE,"",C144)</f>
        <v/>
      </c>
      <c r="C144" s="258">
        <f>'CDS-B'!E80</f>
        <v>0</v>
      </c>
      <c r="D144" s="17" t="s">
        <v>55</v>
      </c>
      <c r="E144" s="48">
        <v>110</v>
      </c>
      <c r="F144" s="17" t="s">
        <v>384</v>
      </c>
      <c r="G144" s="17"/>
      <c r="H144" s="27" t="s">
        <v>171</v>
      </c>
    </row>
    <row r="145" spans="1:8" ht="17" x14ac:dyDescent="0.2">
      <c r="A145" s="44" t="s">
        <v>172</v>
      </c>
      <c r="B145" s="257" t="str" cm="1">
        <f t="array" aca="1" ref="B145" ca="1">IF(ISBLANK(INDIRECT(MID(_xlfn.FORMULATEXT(C145),2,LEN(_xlfn.FORMULATEXT(C145))-1)))=TRUE,"",C145)</f>
        <v/>
      </c>
      <c r="C145" s="258">
        <f>'CDS-B'!F80</f>
        <v>0</v>
      </c>
      <c r="D145" s="17" t="s">
        <v>55</v>
      </c>
      <c r="E145" s="48">
        <v>111</v>
      </c>
      <c r="F145" s="17" t="s">
        <v>384</v>
      </c>
      <c r="G145" s="17"/>
      <c r="H145" s="27" t="s">
        <v>173</v>
      </c>
    </row>
    <row r="146" spans="1:8" x14ac:dyDescent="0.2">
      <c r="A146" s="44" t="s">
        <v>174</v>
      </c>
      <c r="B146" s="257" cm="1">
        <f t="array" aca="1" ref="B146" ca="1">IF(ISBLANK(INDIRECT(MID(_xlfn.FORMULATEXT(C146),2,LEN(_xlfn.FORMULATEXT(C146))-1)))=TRUE,"",C146)</f>
        <v>0</v>
      </c>
      <c r="C146" s="258">
        <f>'CDS-B'!G80</f>
        <v>0</v>
      </c>
      <c r="D146" s="17" t="s">
        <v>55</v>
      </c>
      <c r="E146" s="48">
        <v>112</v>
      </c>
      <c r="F146" s="17" t="s">
        <v>74</v>
      </c>
      <c r="G146" s="17"/>
      <c r="H146" s="27" t="s">
        <v>175</v>
      </c>
    </row>
    <row r="147" spans="1:8" x14ac:dyDescent="0.2">
      <c r="A147" s="44" t="s">
        <v>176</v>
      </c>
      <c r="B147" s="257" cm="1">
        <f t="array" aca="1" ref="B147" ca="1">IF(ISBLANK(INDIRECT(MID(_xlfn.FORMULATEXT(C147),2,LEN(_xlfn.FORMULATEXT(C147))-1)))=TRUE,"",C147)</f>
        <v>180</v>
      </c>
      <c r="C147" s="258">
        <f>'CDS-B'!D81</f>
        <v>180</v>
      </c>
      <c r="D147" s="17" t="s">
        <v>55</v>
      </c>
      <c r="E147" s="48">
        <v>113</v>
      </c>
      <c r="F147" s="17" t="s">
        <v>384</v>
      </c>
      <c r="G147" s="17"/>
      <c r="H147" s="27" t="s">
        <v>177</v>
      </c>
    </row>
    <row r="148" spans="1:8" x14ac:dyDescent="0.2">
      <c r="A148" s="44" t="s">
        <v>178</v>
      </c>
      <c r="B148" s="257" cm="1">
        <f t="array" aca="1" ref="B148" ca="1">IF(ISBLANK(INDIRECT(MID(_xlfn.FORMULATEXT(C148),2,LEN(_xlfn.FORMULATEXT(C148))-1)))=TRUE,"",C148)</f>
        <v>144</v>
      </c>
      <c r="C148" s="258">
        <f>'CDS-B'!E81</f>
        <v>144</v>
      </c>
      <c r="D148" s="17" t="s">
        <v>55</v>
      </c>
      <c r="E148" s="48">
        <v>114</v>
      </c>
      <c r="F148" s="17" t="s">
        <v>384</v>
      </c>
      <c r="G148" s="17"/>
      <c r="H148" s="27" t="s">
        <v>179</v>
      </c>
    </row>
    <row r="149" spans="1:8" x14ac:dyDescent="0.2">
      <c r="A149" s="44" t="s">
        <v>180</v>
      </c>
      <c r="B149" s="257" cm="1">
        <f t="array" aca="1" ref="B149" ca="1">IF(ISBLANK(INDIRECT(MID(_xlfn.FORMULATEXT(C149),2,LEN(_xlfn.FORMULATEXT(C149))-1)))=TRUE,"",C149)</f>
        <v>157</v>
      </c>
      <c r="C149" s="258">
        <f>'CDS-B'!F81</f>
        <v>157</v>
      </c>
      <c r="D149" s="17" t="s">
        <v>55</v>
      </c>
      <c r="E149" s="48">
        <v>115</v>
      </c>
      <c r="F149" s="17" t="s">
        <v>384</v>
      </c>
      <c r="G149" s="17"/>
      <c r="H149" s="27" t="s">
        <v>181</v>
      </c>
    </row>
    <row r="150" spans="1:8" x14ac:dyDescent="0.2">
      <c r="A150" s="44" t="s">
        <v>182</v>
      </c>
      <c r="B150" s="257" cm="1">
        <f t="array" aca="1" ref="B150" ca="1">IF(ISBLANK(INDIRECT(MID(_xlfn.FORMULATEXT(C150),2,LEN(_xlfn.FORMULATEXT(C150))-1)))=TRUE,"",C150)</f>
        <v>481</v>
      </c>
      <c r="C150" s="258">
        <f>'CDS-B'!G81</f>
        <v>481</v>
      </c>
      <c r="D150" s="17" t="s">
        <v>55</v>
      </c>
      <c r="E150" s="48">
        <v>116</v>
      </c>
      <c r="F150" s="17" t="s">
        <v>74</v>
      </c>
      <c r="G150" s="17"/>
      <c r="H150" s="27" t="s">
        <v>183</v>
      </c>
    </row>
    <row r="151" spans="1:8" x14ac:dyDescent="0.2">
      <c r="A151" s="44" t="s">
        <v>184</v>
      </c>
      <c r="B151" s="257" cm="1">
        <f t="array" aca="1" ref="B151" ca="1">IF(ISBLANK(INDIRECT(MID(_xlfn.FORMULATEXT(C151),2,LEN(_xlfn.FORMULATEXT(C151))-1)))=TRUE,"",C151)</f>
        <v>85</v>
      </c>
      <c r="C151" s="258">
        <f>'CDS-B'!D82</f>
        <v>85</v>
      </c>
      <c r="D151" s="17" t="s">
        <v>55</v>
      </c>
      <c r="E151" s="48">
        <v>117</v>
      </c>
      <c r="F151" s="17" t="s">
        <v>384</v>
      </c>
      <c r="G151" s="17"/>
      <c r="H151" s="27" t="s">
        <v>185</v>
      </c>
    </row>
    <row r="152" spans="1:8" x14ac:dyDescent="0.2">
      <c r="A152" s="44" t="s">
        <v>186</v>
      </c>
      <c r="B152" s="257" cm="1">
        <f t="array" aca="1" ref="B152" ca="1">IF(ISBLANK(INDIRECT(MID(_xlfn.FORMULATEXT(C152),2,LEN(_xlfn.FORMULATEXT(C152))-1)))=TRUE,"",C152)</f>
        <v>92</v>
      </c>
      <c r="C152" s="258">
        <f>'CDS-B'!E82</f>
        <v>92</v>
      </c>
      <c r="D152" s="17" t="s">
        <v>55</v>
      </c>
      <c r="E152" s="48">
        <v>118</v>
      </c>
      <c r="F152" s="17" t="s">
        <v>384</v>
      </c>
      <c r="G152" s="17"/>
      <c r="H152" s="27" t="s">
        <v>187</v>
      </c>
    </row>
    <row r="153" spans="1:8" x14ac:dyDescent="0.2">
      <c r="A153" s="44" t="s">
        <v>188</v>
      </c>
      <c r="B153" s="257" cm="1">
        <f t="array" aca="1" ref="B153" ca="1">IF(ISBLANK(INDIRECT(MID(_xlfn.FORMULATEXT(C153),2,LEN(_xlfn.FORMULATEXT(C153))-1)))=TRUE,"",C153)</f>
        <v>110</v>
      </c>
      <c r="C153" s="258">
        <f>'CDS-B'!F82</f>
        <v>110</v>
      </c>
      <c r="D153" s="17" t="s">
        <v>55</v>
      </c>
      <c r="E153" s="48">
        <v>119</v>
      </c>
      <c r="F153" s="17" t="s">
        <v>384</v>
      </c>
      <c r="G153" s="17"/>
      <c r="H153" s="27" t="s">
        <v>189</v>
      </c>
    </row>
    <row r="154" spans="1:8" x14ac:dyDescent="0.2">
      <c r="A154" s="44" t="s">
        <v>190</v>
      </c>
      <c r="B154" s="257" cm="1">
        <f t="array" aca="1" ref="B154" ca="1">IF(ISBLANK(INDIRECT(MID(_xlfn.FORMULATEXT(C154),2,LEN(_xlfn.FORMULATEXT(C154))-1)))=TRUE,"",C154)</f>
        <v>287</v>
      </c>
      <c r="C154" s="258">
        <f>'CDS-B'!G82</f>
        <v>287</v>
      </c>
      <c r="D154" s="17" t="s">
        <v>55</v>
      </c>
      <c r="E154" s="48">
        <v>120</v>
      </c>
      <c r="F154" s="17" t="s">
        <v>74</v>
      </c>
      <c r="G154" s="17"/>
      <c r="H154" s="27" t="s">
        <v>191</v>
      </c>
    </row>
    <row r="155" spans="1:8" x14ac:dyDescent="0.2">
      <c r="A155" s="44" t="s">
        <v>192</v>
      </c>
      <c r="B155" s="257" cm="1">
        <f t="array" aca="1" ref="B155" ca="1">IF(ISBLANK(INDIRECT(MID(_xlfn.FORMULATEXT(C155),2,LEN(_xlfn.FORMULATEXT(C155))-1)))=TRUE,"",C155)</f>
        <v>14</v>
      </c>
      <c r="C155" s="258">
        <f>'CDS-B'!D83</f>
        <v>14</v>
      </c>
      <c r="D155" s="17" t="s">
        <v>55</v>
      </c>
      <c r="E155" s="48">
        <v>121</v>
      </c>
      <c r="F155" s="17" t="s">
        <v>384</v>
      </c>
      <c r="G155" s="17"/>
      <c r="H155" s="27" t="s">
        <v>193</v>
      </c>
    </row>
    <row r="156" spans="1:8" x14ac:dyDescent="0.2">
      <c r="A156" s="44" t="s">
        <v>194</v>
      </c>
      <c r="B156" s="257" cm="1">
        <f t="array" aca="1" ref="B156" ca="1">IF(ISBLANK(INDIRECT(MID(_xlfn.FORMULATEXT(C156),2,LEN(_xlfn.FORMULATEXT(C156))-1)))=TRUE,"",C156)</f>
        <v>7</v>
      </c>
      <c r="C156" s="258">
        <f>'CDS-B'!E83</f>
        <v>7</v>
      </c>
      <c r="D156" s="17" t="s">
        <v>55</v>
      </c>
      <c r="E156" s="48">
        <v>122</v>
      </c>
      <c r="F156" s="17" t="s">
        <v>384</v>
      </c>
      <c r="G156" s="17"/>
      <c r="H156" s="27" t="s">
        <v>195</v>
      </c>
    </row>
    <row r="157" spans="1:8" x14ac:dyDescent="0.2">
      <c r="A157" s="44" t="s">
        <v>196</v>
      </c>
      <c r="B157" s="257" cm="1">
        <f t="array" aca="1" ref="B157" ca="1">IF(ISBLANK(INDIRECT(MID(_xlfn.FORMULATEXT(C157),2,LEN(_xlfn.FORMULATEXT(C157))-1)))=TRUE,"",C157)</f>
        <v>6</v>
      </c>
      <c r="C157" s="258">
        <f>'CDS-B'!F83</f>
        <v>6</v>
      </c>
      <c r="D157" s="17" t="s">
        <v>55</v>
      </c>
      <c r="E157" s="48">
        <v>123</v>
      </c>
      <c r="F157" s="17" t="s">
        <v>384</v>
      </c>
      <c r="G157" s="17"/>
      <c r="H157" s="27" t="s">
        <v>197</v>
      </c>
    </row>
    <row r="158" spans="1:8" x14ac:dyDescent="0.2">
      <c r="A158" s="44" t="s">
        <v>198</v>
      </c>
      <c r="B158" s="257" cm="1">
        <f t="array" aca="1" ref="B158" ca="1">IF(ISBLANK(INDIRECT(MID(_xlfn.FORMULATEXT(C158),2,LEN(_xlfn.FORMULATEXT(C158))-1)))=TRUE,"",C158)</f>
        <v>27</v>
      </c>
      <c r="C158" s="258">
        <f>'CDS-B'!G83</f>
        <v>27</v>
      </c>
      <c r="D158" s="17" t="s">
        <v>55</v>
      </c>
      <c r="E158" s="48">
        <v>124</v>
      </c>
      <c r="F158" s="17" t="s">
        <v>74</v>
      </c>
      <c r="G158" s="17"/>
      <c r="H158" s="27" t="s">
        <v>199</v>
      </c>
    </row>
    <row r="159" spans="1:8" x14ac:dyDescent="0.2">
      <c r="A159" s="44" t="s">
        <v>200</v>
      </c>
      <c r="B159" s="257" cm="1">
        <f t="array" aca="1" ref="B159" ca="1">IF(ISBLANK(INDIRECT(MID(_xlfn.FORMULATEXT(C159),2,LEN(_xlfn.FORMULATEXT(C159))-1)))=TRUE,"",C159)</f>
        <v>2</v>
      </c>
      <c r="C159" s="258">
        <f>'CDS-B'!D84</f>
        <v>2</v>
      </c>
      <c r="D159" s="17" t="s">
        <v>55</v>
      </c>
      <c r="E159" s="48">
        <v>125</v>
      </c>
      <c r="F159" s="17" t="s">
        <v>384</v>
      </c>
      <c r="G159" s="17"/>
      <c r="H159" s="27" t="s">
        <v>201</v>
      </c>
    </row>
    <row r="160" spans="1:8" x14ac:dyDescent="0.2">
      <c r="A160" s="44" t="s">
        <v>202</v>
      </c>
      <c r="B160" s="257" cm="1">
        <f t="array" aca="1" ref="B160" ca="1">IF(ISBLANK(INDIRECT(MID(_xlfn.FORMULATEXT(C160),2,LEN(_xlfn.FORMULATEXT(C160))-1)))=TRUE,"",C160)</f>
        <v>2</v>
      </c>
      <c r="C160" s="258">
        <f>'CDS-B'!E84</f>
        <v>2</v>
      </c>
      <c r="D160" s="17" t="s">
        <v>55</v>
      </c>
      <c r="E160" s="48">
        <v>126</v>
      </c>
      <c r="F160" s="17" t="s">
        <v>384</v>
      </c>
      <c r="G160" s="17"/>
      <c r="H160" s="27" t="s">
        <v>203</v>
      </c>
    </row>
    <row r="161" spans="1:8" x14ac:dyDescent="0.2">
      <c r="A161" s="44" t="s">
        <v>204</v>
      </c>
      <c r="B161" s="257" cm="1">
        <f t="array" aca="1" ref="B161" ca="1">IF(ISBLANK(INDIRECT(MID(_xlfn.FORMULATEXT(C161),2,LEN(_xlfn.FORMULATEXT(C161))-1)))=TRUE,"",C161)</f>
        <v>2</v>
      </c>
      <c r="C161" s="258">
        <f>'CDS-B'!F84</f>
        <v>2</v>
      </c>
      <c r="D161" s="17" t="s">
        <v>55</v>
      </c>
      <c r="E161" s="48">
        <v>127</v>
      </c>
      <c r="F161" s="17" t="s">
        <v>384</v>
      </c>
      <c r="G161" s="17"/>
      <c r="H161" s="27" t="s">
        <v>205</v>
      </c>
    </row>
    <row r="162" spans="1:8" x14ac:dyDescent="0.2">
      <c r="A162" s="44" t="s">
        <v>206</v>
      </c>
      <c r="B162" s="257" cm="1">
        <f t="array" aca="1" ref="B162" ca="1">IF(ISBLANK(INDIRECT(MID(_xlfn.FORMULATEXT(C162),2,LEN(_xlfn.FORMULATEXT(C162))-1)))=TRUE,"",C162)</f>
        <v>6</v>
      </c>
      <c r="C162" s="258">
        <f>'CDS-B'!G84</f>
        <v>6</v>
      </c>
      <c r="D162" s="17" t="s">
        <v>55</v>
      </c>
      <c r="E162" s="48">
        <v>128</v>
      </c>
      <c r="F162" s="17" t="s">
        <v>74</v>
      </c>
      <c r="G162" s="17"/>
      <c r="H162" s="27" t="s">
        <v>207</v>
      </c>
    </row>
    <row r="163" spans="1:8" x14ac:dyDescent="0.2">
      <c r="A163" s="44" t="s">
        <v>208</v>
      </c>
      <c r="B163" s="257" cm="1">
        <f t="array" aca="1" ref="B163" ca="1">IF(ISBLANK(INDIRECT(MID(_xlfn.FORMULATEXT(C163),2,LEN(_xlfn.FORMULATEXT(C163))-1)))=TRUE,"",C163)</f>
        <v>101</v>
      </c>
      <c r="C163" s="258">
        <f>'CDS-B'!D85</f>
        <v>101</v>
      </c>
      <c r="D163" s="17" t="s">
        <v>55</v>
      </c>
      <c r="E163" s="48">
        <v>129</v>
      </c>
      <c r="F163" s="17" t="s">
        <v>384</v>
      </c>
      <c r="G163" s="17"/>
      <c r="H163" s="77" t="s">
        <v>209</v>
      </c>
    </row>
    <row r="164" spans="1:8" x14ac:dyDescent="0.2">
      <c r="A164" s="44" t="s">
        <v>210</v>
      </c>
      <c r="B164" s="257" cm="1">
        <f t="array" aca="1" ref="B164" ca="1">IF(ISBLANK(INDIRECT(MID(_xlfn.FORMULATEXT(C164),2,LEN(_xlfn.FORMULATEXT(C164))-1)))=TRUE,"",C164)</f>
        <v>101</v>
      </c>
      <c r="C164" s="258">
        <f>'CDS-B'!E85</f>
        <v>101</v>
      </c>
      <c r="D164" s="17" t="s">
        <v>55</v>
      </c>
      <c r="E164" s="48">
        <v>130</v>
      </c>
      <c r="F164" s="17" t="s">
        <v>384</v>
      </c>
      <c r="G164" s="17"/>
      <c r="H164" s="95" t="s">
        <v>211</v>
      </c>
    </row>
    <row r="165" spans="1:8" x14ac:dyDescent="0.2">
      <c r="A165" s="44" t="s">
        <v>212</v>
      </c>
      <c r="B165" s="257" cm="1">
        <f t="array" aca="1" ref="B165" ca="1">IF(ISBLANK(INDIRECT(MID(_xlfn.FORMULATEXT(C165),2,LEN(_xlfn.FORMULATEXT(C165))-1)))=TRUE,"",C165)</f>
        <v>118</v>
      </c>
      <c r="C165" s="258">
        <f>'CDS-B'!F85</f>
        <v>118</v>
      </c>
      <c r="D165" s="17" t="s">
        <v>55</v>
      </c>
      <c r="E165" s="48">
        <v>131</v>
      </c>
      <c r="F165" s="17" t="s">
        <v>384</v>
      </c>
      <c r="G165" s="17"/>
      <c r="H165" s="95" t="s">
        <v>213</v>
      </c>
    </row>
    <row r="166" spans="1:8" x14ac:dyDescent="0.2">
      <c r="A166" s="44" t="s">
        <v>214</v>
      </c>
      <c r="B166" s="257" cm="1">
        <f t="array" aca="1" ref="B166" ca="1">IF(ISBLANK(INDIRECT(MID(_xlfn.FORMULATEXT(C166),2,LEN(_xlfn.FORMULATEXT(C166))-1)))=TRUE,"",C166)</f>
        <v>320</v>
      </c>
      <c r="C166" s="258">
        <f>'CDS-B'!G85</f>
        <v>320</v>
      </c>
      <c r="D166" s="17" t="s">
        <v>55</v>
      </c>
      <c r="E166" s="48">
        <v>132</v>
      </c>
      <c r="F166" s="17" t="s">
        <v>74</v>
      </c>
      <c r="G166" s="17"/>
      <c r="H166" s="95" t="s">
        <v>215</v>
      </c>
    </row>
    <row r="167" spans="1:8" x14ac:dyDescent="0.2">
      <c r="A167" s="44" t="s">
        <v>2299</v>
      </c>
      <c r="B167" s="257" cm="1">
        <f t="array" aca="1" ref="B167" ca="1">IF(ISBLANK(INDIRECT(MID(_xlfn.FORMULATEXT(C167),2,LEN(_xlfn.FORMULATEXT(C167))-1)))=TRUE,"",C167)</f>
        <v>56.1</v>
      </c>
      <c r="C167" s="259">
        <f>ROUND(TRUNC(G167*100, 1), 1)</f>
        <v>56.1</v>
      </c>
      <c r="D167" s="17" t="s">
        <v>55</v>
      </c>
      <c r="E167" s="48">
        <v>133</v>
      </c>
      <c r="F167" s="17" t="s">
        <v>74</v>
      </c>
      <c r="G167" s="246">
        <f>'CDS-B'!D86</f>
        <v>0.56111111111111112</v>
      </c>
      <c r="H167" s="77" t="s">
        <v>216</v>
      </c>
    </row>
    <row r="168" spans="1:8" x14ac:dyDescent="0.2">
      <c r="A168" s="44" t="s">
        <v>2300</v>
      </c>
      <c r="B168" s="257" cm="1">
        <f t="array" aca="1" ref="B168" ca="1">IF(ISBLANK(INDIRECT(MID(_xlfn.FORMULATEXT(C168),2,LEN(_xlfn.FORMULATEXT(C168))-1)))=TRUE,"",C168)</f>
        <v>70.099999999999994</v>
      </c>
      <c r="C168" s="259">
        <f t="shared" ref="C168:C170" si="0">ROUND(TRUNC(G168*100, 1), 1)</f>
        <v>70.099999999999994</v>
      </c>
      <c r="D168" s="17" t="s">
        <v>55</v>
      </c>
      <c r="E168" s="48">
        <v>134</v>
      </c>
      <c r="F168" s="17" t="s">
        <v>74</v>
      </c>
      <c r="G168" s="246">
        <f>'CDS-B'!E86</f>
        <v>0.70138888888888884</v>
      </c>
      <c r="H168" s="95" t="s">
        <v>217</v>
      </c>
    </row>
    <row r="169" spans="1:8" x14ac:dyDescent="0.2">
      <c r="A169" s="44" t="s">
        <v>2301</v>
      </c>
      <c r="B169" s="257" cm="1">
        <f t="array" aca="1" ref="B169" ca="1">IF(ISBLANK(INDIRECT(MID(_xlfn.FORMULATEXT(C169),2,LEN(_xlfn.FORMULATEXT(C169))-1)))=TRUE,"",C169)</f>
        <v>75.099999999999994</v>
      </c>
      <c r="C169" s="259">
        <f t="shared" si="0"/>
        <v>75.099999999999994</v>
      </c>
      <c r="D169" s="17" t="s">
        <v>55</v>
      </c>
      <c r="E169" s="48">
        <v>135</v>
      </c>
      <c r="F169" s="17" t="s">
        <v>74</v>
      </c>
      <c r="G169" s="246">
        <f>'CDS-B'!F86</f>
        <v>0.75159235668789814</v>
      </c>
      <c r="H169" s="95" t="s">
        <v>218</v>
      </c>
    </row>
    <row r="170" spans="1:8" x14ac:dyDescent="0.2">
      <c r="A170" s="44" t="s">
        <v>2302</v>
      </c>
      <c r="B170" s="257" cm="1">
        <f t="array" aca="1" ref="B170" ca="1">IF(ISBLANK(INDIRECT(MID(_xlfn.FORMULATEXT(C170),2,LEN(_xlfn.FORMULATEXT(C170))-1)))=TRUE,"",C170)</f>
        <v>66.5</v>
      </c>
      <c r="C170" s="259">
        <f t="shared" si="0"/>
        <v>66.5</v>
      </c>
      <c r="D170" s="17" t="s">
        <v>55</v>
      </c>
      <c r="E170" s="48">
        <v>136</v>
      </c>
      <c r="F170" s="17" t="s">
        <v>74</v>
      </c>
      <c r="G170" s="246">
        <f>'CDS-B'!G86</f>
        <v>0.66528066528066532</v>
      </c>
      <c r="H170" s="95" t="s">
        <v>219</v>
      </c>
    </row>
    <row r="171" spans="1:8" x14ac:dyDescent="0.2">
      <c r="A171" s="44" t="s">
        <v>220</v>
      </c>
      <c r="B171" s="257" cm="1">
        <f t="array" aca="1" ref="B171" ca="1">IF(ISBLANK(INDIRECT(MID(_xlfn.FORMULATEXT(C171),2,LEN(_xlfn.FORMULATEXT(C171))-1)))=TRUE,"",C171)</f>
        <v>202</v>
      </c>
      <c r="C171" s="258">
        <f>'CDS-B'!D90</f>
        <v>202</v>
      </c>
      <c r="D171" s="17" t="s">
        <v>55</v>
      </c>
      <c r="E171" s="48">
        <v>137</v>
      </c>
      <c r="F171" s="17" t="s">
        <v>384</v>
      </c>
      <c r="G171" s="17"/>
      <c r="H171" s="27" t="s">
        <v>161</v>
      </c>
    </row>
    <row r="172" spans="1:8" x14ac:dyDescent="0.2">
      <c r="A172" s="44" t="s">
        <v>221</v>
      </c>
      <c r="B172" s="257" cm="1">
        <f t="array" aca="1" ref="B172" ca="1">IF(ISBLANK(INDIRECT(MID(_xlfn.FORMULATEXT(C172),2,LEN(_xlfn.FORMULATEXT(C172))-1)))=TRUE,"",C172)</f>
        <v>167</v>
      </c>
      <c r="C172" s="258">
        <f>'CDS-B'!E90</f>
        <v>167</v>
      </c>
      <c r="D172" s="17" t="s">
        <v>55</v>
      </c>
      <c r="E172" s="48">
        <v>138</v>
      </c>
      <c r="F172" s="17" t="s">
        <v>384</v>
      </c>
      <c r="G172" s="17"/>
      <c r="H172" s="27" t="s">
        <v>163</v>
      </c>
    </row>
    <row r="173" spans="1:8" x14ac:dyDescent="0.2">
      <c r="A173" s="44" t="s">
        <v>222</v>
      </c>
      <c r="B173" s="257" cm="1">
        <f t="array" aca="1" ref="B173" ca="1">IF(ISBLANK(INDIRECT(MID(_xlfn.FORMULATEXT(C173),2,LEN(_xlfn.FORMULATEXT(C173))-1)))=TRUE,"",C173)</f>
        <v>182</v>
      </c>
      <c r="C173" s="258">
        <f>'CDS-B'!F90</f>
        <v>182</v>
      </c>
      <c r="D173" s="17" t="s">
        <v>55</v>
      </c>
      <c r="E173" s="48">
        <v>139</v>
      </c>
      <c r="F173" s="17" t="s">
        <v>384</v>
      </c>
      <c r="G173" s="17"/>
      <c r="H173" s="27" t="s">
        <v>165</v>
      </c>
    </row>
    <row r="174" spans="1:8" x14ac:dyDescent="0.2">
      <c r="A174" s="44" t="s">
        <v>223</v>
      </c>
      <c r="B174" s="257" cm="1">
        <f t="array" aca="1" ref="B174" ca="1">IF(ISBLANK(INDIRECT(MID(_xlfn.FORMULATEXT(C174),2,LEN(_xlfn.FORMULATEXT(C174))-1)))=TRUE,"",C174)</f>
        <v>551</v>
      </c>
      <c r="C174" s="258">
        <f>'CDS-B'!G90</f>
        <v>551</v>
      </c>
      <c r="D174" s="17" t="s">
        <v>55</v>
      </c>
      <c r="E174" s="48">
        <v>140</v>
      </c>
      <c r="F174" s="17" t="s">
        <v>74</v>
      </c>
      <c r="G174" s="17"/>
      <c r="H174" s="27" t="s">
        <v>167</v>
      </c>
    </row>
    <row r="175" spans="1:8" x14ac:dyDescent="0.2">
      <c r="A175" s="44" t="s">
        <v>224</v>
      </c>
      <c r="B175" s="257" cm="1">
        <f t="array" aca="1" ref="B175" ca="1">IF(ISBLANK(INDIRECT(MID(_xlfn.FORMULATEXT(C175),2,LEN(_xlfn.FORMULATEXT(C175))-1)))=TRUE,"",C175)</f>
        <v>1</v>
      </c>
      <c r="C175" s="258">
        <f>'CDS-B'!D91</f>
        <v>1</v>
      </c>
      <c r="D175" s="17" t="s">
        <v>55</v>
      </c>
      <c r="E175" s="48">
        <v>141</v>
      </c>
      <c r="F175" s="17" t="s">
        <v>384</v>
      </c>
      <c r="G175" s="17"/>
      <c r="H175" s="27" t="s">
        <v>169</v>
      </c>
    </row>
    <row r="176" spans="1:8" x14ac:dyDescent="0.2">
      <c r="A176" s="44" t="s">
        <v>225</v>
      </c>
      <c r="B176" s="257" cm="1">
        <f t="array" aca="1" ref="B176" ca="1">IF(ISBLANK(INDIRECT(MID(_xlfn.FORMULATEXT(C176),2,LEN(_xlfn.FORMULATEXT(C176))-1)))=TRUE,"",C176)</f>
        <v>0</v>
      </c>
      <c r="C176" s="258">
        <f>'CDS-B'!E91</f>
        <v>0</v>
      </c>
      <c r="D176" s="17" t="s">
        <v>55</v>
      </c>
      <c r="E176" s="48">
        <v>142</v>
      </c>
      <c r="F176" s="17" t="s">
        <v>384</v>
      </c>
      <c r="G176" s="17"/>
      <c r="H176" s="27" t="s">
        <v>171</v>
      </c>
    </row>
    <row r="177" spans="1:8" x14ac:dyDescent="0.2">
      <c r="A177" s="44" t="s">
        <v>226</v>
      </c>
      <c r="B177" s="257" cm="1">
        <f t="array" aca="1" ref="B177" ca="1">IF(ISBLANK(INDIRECT(MID(_xlfn.FORMULATEXT(C177),2,LEN(_xlfn.FORMULATEXT(C177))-1)))=TRUE,"",C177)</f>
        <v>1</v>
      </c>
      <c r="C177" s="258">
        <f>'CDS-B'!F91</f>
        <v>1</v>
      </c>
      <c r="D177" s="17" t="s">
        <v>55</v>
      </c>
      <c r="E177" s="48">
        <v>143</v>
      </c>
      <c r="F177" s="17" t="s">
        <v>384</v>
      </c>
      <c r="G177" s="17"/>
      <c r="H177" s="27" t="s">
        <v>173</v>
      </c>
    </row>
    <row r="178" spans="1:8" x14ac:dyDescent="0.2">
      <c r="A178" s="44" t="s">
        <v>227</v>
      </c>
      <c r="B178" s="257" cm="1">
        <f t="array" aca="1" ref="B178" ca="1">IF(ISBLANK(INDIRECT(MID(_xlfn.FORMULATEXT(C178),2,LEN(_xlfn.FORMULATEXT(C178))-1)))=TRUE,"",C178)</f>
        <v>2</v>
      </c>
      <c r="C178" s="258">
        <f>'CDS-B'!G91</f>
        <v>2</v>
      </c>
      <c r="D178" s="17" t="s">
        <v>55</v>
      </c>
      <c r="E178" s="48">
        <v>144</v>
      </c>
      <c r="F178" s="17" t="s">
        <v>74</v>
      </c>
      <c r="G178" s="17"/>
      <c r="H178" s="27" t="s">
        <v>175</v>
      </c>
    </row>
    <row r="179" spans="1:8" x14ac:dyDescent="0.2">
      <c r="A179" s="44" t="s">
        <v>228</v>
      </c>
      <c r="B179" s="257" cm="1">
        <f t="array" aca="1" ref="B179" ca="1">IF(ISBLANK(INDIRECT(MID(_xlfn.FORMULATEXT(C179),2,LEN(_xlfn.FORMULATEXT(C179))-1)))=TRUE,"",C179)</f>
        <v>201</v>
      </c>
      <c r="C179" s="258">
        <f>'CDS-B'!D92</f>
        <v>201</v>
      </c>
      <c r="D179" s="17" t="s">
        <v>55</v>
      </c>
      <c r="E179" s="48">
        <v>145</v>
      </c>
      <c r="F179" s="17" t="s">
        <v>384</v>
      </c>
      <c r="G179" s="17"/>
      <c r="H179" s="27" t="s">
        <v>177</v>
      </c>
    </row>
    <row r="180" spans="1:8" x14ac:dyDescent="0.2">
      <c r="A180" s="44" t="s">
        <v>229</v>
      </c>
      <c r="B180" s="257" cm="1">
        <f t="array" aca="1" ref="B180" ca="1">IF(ISBLANK(INDIRECT(MID(_xlfn.FORMULATEXT(C180),2,LEN(_xlfn.FORMULATEXT(C180))-1)))=TRUE,"",C180)</f>
        <v>167</v>
      </c>
      <c r="C180" s="258">
        <f>'CDS-B'!E92</f>
        <v>167</v>
      </c>
      <c r="D180" s="17" t="s">
        <v>55</v>
      </c>
      <c r="E180" s="48">
        <v>146</v>
      </c>
      <c r="F180" s="17" t="s">
        <v>384</v>
      </c>
      <c r="G180" s="17"/>
      <c r="H180" s="27" t="s">
        <v>179</v>
      </c>
    </row>
    <row r="181" spans="1:8" x14ac:dyDescent="0.2">
      <c r="A181" s="44" t="s">
        <v>230</v>
      </c>
      <c r="B181" s="257" cm="1">
        <f t="array" aca="1" ref="B181" ca="1">IF(ISBLANK(INDIRECT(MID(_xlfn.FORMULATEXT(C181),2,LEN(_xlfn.FORMULATEXT(C181))-1)))=TRUE,"",C181)</f>
        <v>181</v>
      </c>
      <c r="C181" s="258">
        <f>'CDS-B'!F92</f>
        <v>181</v>
      </c>
      <c r="D181" s="17" t="s">
        <v>55</v>
      </c>
      <c r="E181" s="48">
        <v>147</v>
      </c>
      <c r="F181" s="17" t="s">
        <v>384</v>
      </c>
      <c r="G181" s="17"/>
      <c r="H181" s="27" t="s">
        <v>181</v>
      </c>
    </row>
    <row r="182" spans="1:8" x14ac:dyDescent="0.2">
      <c r="A182" s="44" t="s">
        <v>231</v>
      </c>
      <c r="B182" s="257" cm="1">
        <f t="array" aca="1" ref="B182" ca="1">IF(ISBLANK(INDIRECT(MID(_xlfn.FORMULATEXT(C182),2,LEN(_xlfn.FORMULATEXT(C182))-1)))=TRUE,"",C182)</f>
        <v>549</v>
      </c>
      <c r="C182" s="258">
        <f>'CDS-B'!G92</f>
        <v>549</v>
      </c>
      <c r="D182" s="17" t="s">
        <v>55</v>
      </c>
      <c r="E182" s="48">
        <v>148</v>
      </c>
      <c r="F182" s="17" t="s">
        <v>74</v>
      </c>
      <c r="G182" s="17"/>
      <c r="H182" s="27" t="s">
        <v>183</v>
      </c>
    </row>
    <row r="183" spans="1:8" x14ac:dyDescent="0.2">
      <c r="A183" s="44" t="s">
        <v>232</v>
      </c>
      <c r="B183" s="257" cm="1">
        <f t="array" aca="1" ref="B183" ca="1">IF(ISBLANK(INDIRECT(MID(_xlfn.FORMULATEXT(C183),2,LEN(_xlfn.FORMULATEXT(C183))-1)))=TRUE,"",C183)</f>
        <v>106</v>
      </c>
      <c r="C183" s="258">
        <f>'CDS-B'!D93</f>
        <v>106</v>
      </c>
      <c r="D183" s="17" t="s">
        <v>55</v>
      </c>
      <c r="E183" s="48">
        <v>149</v>
      </c>
      <c r="F183" s="17" t="s">
        <v>384</v>
      </c>
      <c r="G183" s="17"/>
      <c r="H183" s="27" t="s">
        <v>185</v>
      </c>
    </row>
    <row r="184" spans="1:8" x14ac:dyDescent="0.2">
      <c r="A184" s="44" t="s">
        <v>233</v>
      </c>
      <c r="B184" s="257" cm="1">
        <f t="array" aca="1" ref="B184" ca="1">IF(ISBLANK(INDIRECT(MID(_xlfn.FORMULATEXT(C184),2,LEN(_xlfn.FORMULATEXT(C184))-1)))=TRUE,"",C184)</f>
        <v>103</v>
      </c>
      <c r="C184" s="258">
        <f>'CDS-B'!E93</f>
        <v>103</v>
      </c>
      <c r="D184" s="17" t="s">
        <v>55</v>
      </c>
      <c r="E184" s="48">
        <v>150</v>
      </c>
      <c r="F184" s="17" t="s">
        <v>384</v>
      </c>
      <c r="G184" s="17"/>
      <c r="H184" s="27" t="s">
        <v>187</v>
      </c>
    </row>
    <row r="185" spans="1:8" x14ac:dyDescent="0.2">
      <c r="A185" s="44" t="s">
        <v>234</v>
      </c>
      <c r="B185" s="257" cm="1">
        <f t="array" aca="1" ref="B185" ca="1">IF(ISBLANK(INDIRECT(MID(_xlfn.FORMULATEXT(C185),2,LEN(_xlfn.FORMULATEXT(C185))-1)))=TRUE,"",C185)</f>
        <v>118</v>
      </c>
      <c r="C185" s="258">
        <f>'CDS-B'!F93</f>
        <v>118</v>
      </c>
      <c r="D185" s="17" t="s">
        <v>55</v>
      </c>
      <c r="E185" s="48">
        <v>151</v>
      </c>
      <c r="F185" s="17" t="s">
        <v>384</v>
      </c>
      <c r="G185" s="17"/>
      <c r="H185" s="27" t="s">
        <v>189</v>
      </c>
    </row>
    <row r="186" spans="1:8" x14ac:dyDescent="0.2">
      <c r="A186" s="44" t="s">
        <v>235</v>
      </c>
      <c r="B186" s="257" cm="1">
        <f t="array" aca="1" ref="B186" ca="1">IF(ISBLANK(INDIRECT(MID(_xlfn.FORMULATEXT(C186),2,LEN(_xlfn.FORMULATEXT(C186))-1)))=TRUE,"",C186)</f>
        <v>327</v>
      </c>
      <c r="C186" s="258">
        <f>'CDS-B'!G93</f>
        <v>327</v>
      </c>
      <c r="D186" s="17" t="s">
        <v>55</v>
      </c>
      <c r="E186" s="48">
        <v>152</v>
      </c>
      <c r="F186" s="17" t="s">
        <v>74</v>
      </c>
      <c r="G186" s="17"/>
      <c r="H186" s="27" t="s">
        <v>191</v>
      </c>
    </row>
    <row r="187" spans="1:8" x14ac:dyDescent="0.2">
      <c r="A187" s="44" t="s">
        <v>236</v>
      </c>
      <c r="B187" s="257" cm="1">
        <f t="array" aca="1" ref="B187" ca="1">IF(ISBLANK(INDIRECT(MID(_xlfn.FORMULATEXT(C187),2,LEN(_xlfn.FORMULATEXT(C187))-1)))=TRUE,"",C187)</f>
        <v>18</v>
      </c>
      <c r="C187" s="258">
        <f>'CDS-B'!D94</f>
        <v>18</v>
      </c>
      <c r="D187" s="17" t="s">
        <v>55</v>
      </c>
      <c r="E187" s="48">
        <v>153</v>
      </c>
      <c r="F187" s="17" t="s">
        <v>384</v>
      </c>
      <c r="G187" s="17"/>
      <c r="H187" s="27" t="s">
        <v>193</v>
      </c>
    </row>
    <row r="188" spans="1:8" x14ac:dyDescent="0.2">
      <c r="A188" s="44" t="s">
        <v>237</v>
      </c>
      <c r="B188" s="257" cm="1">
        <f t="array" aca="1" ref="B188" ca="1">IF(ISBLANK(INDIRECT(MID(_xlfn.FORMULATEXT(C188),2,LEN(_xlfn.FORMULATEXT(C188))-1)))=TRUE,"",C188)</f>
        <v>8</v>
      </c>
      <c r="C188" s="258">
        <f>'CDS-B'!E94</f>
        <v>8</v>
      </c>
      <c r="D188" s="17" t="s">
        <v>55</v>
      </c>
      <c r="E188" s="48">
        <v>154</v>
      </c>
      <c r="F188" s="17" t="s">
        <v>384</v>
      </c>
      <c r="G188" s="17"/>
      <c r="H188" s="27" t="s">
        <v>195</v>
      </c>
    </row>
    <row r="189" spans="1:8" x14ac:dyDescent="0.2">
      <c r="A189" s="44" t="s">
        <v>238</v>
      </c>
      <c r="B189" s="257" cm="1">
        <f t="array" aca="1" ref="B189" ca="1">IF(ISBLANK(INDIRECT(MID(_xlfn.FORMULATEXT(C189),2,LEN(_xlfn.FORMULATEXT(C189))-1)))=TRUE,"",C189)</f>
        <v>15</v>
      </c>
      <c r="C189" s="258">
        <f>'CDS-B'!F94</f>
        <v>15</v>
      </c>
      <c r="D189" s="17" t="s">
        <v>55</v>
      </c>
      <c r="E189" s="48">
        <v>155</v>
      </c>
      <c r="F189" s="17" t="s">
        <v>384</v>
      </c>
      <c r="G189" s="17"/>
      <c r="H189" s="27" t="s">
        <v>197</v>
      </c>
    </row>
    <row r="190" spans="1:8" x14ac:dyDescent="0.2">
      <c r="A190" s="44" t="s">
        <v>239</v>
      </c>
      <c r="B190" s="257" cm="1">
        <f t="array" aca="1" ref="B190" ca="1">IF(ISBLANK(INDIRECT(MID(_xlfn.FORMULATEXT(C190),2,LEN(_xlfn.FORMULATEXT(C190))-1)))=TRUE,"",C190)</f>
        <v>41</v>
      </c>
      <c r="C190" s="258">
        <f>'CDS-B'!G94</f>
        <v>41</v>
      </c>
      <c r="D190" s="17" t="s">
        <v>55</v>
      </c>
      <c r="E190" s="48">
        <v>156</v>
      </c>
      <c r="F190" s="17" t="s">
        <v>74</v>
      </c>
      <c r="G190" s="17"/>
      <c r="H190" s="27" t="s">
        <v>199</v>
      </c>
    </row>
    <row r="191" spans="1:8" x14ac:dyDescent="0.2">
      <c r="A191" s="44" t="s">
        <v>240</v>
      </c>
      <c r="B191" s="257" cm="1">
        <f t="array" aca="1" ref="B191" ca="1">IF(ISBLANK(INDIRECT(MID(_xlfn.FORMULATEXT(C191),2,LEN(_xlfn.FORMULATEXT(C191))-1)))=TRUE,"",C191)</f>
        <v>1</v>
      </c>
      <c r="C191" s="258">
        <f>'CDS-B'!D95</f>
        <v>1</v>
      </c>
      <c r="D191" s="17" t="s">
        <v>55</v>
      </c>
      <c r="E191" s="48">
        <v>157</v>
      </c>
      <c r="F191" s="17" t="s">
        <v>384</v>
      </c>
      <c r="G191" s="17"/>
      <c r="H191" s="27" t="s">
        <v>201</v>
      </c>
    </row>
    <row r="192" spans="1:8" x14ac:dyDescent="0.2">
      <c r="A192" s="44" t="s">
        <v>241</v>
      </c>
      <c r="B192" s="257" cm="1">
        <f t="array" aca="1" ref="B192" ca="1">IF(ISBLANK(INDIRECT(MID(_xlfn.FORMULATEXT(C192),2,LEN(_xlfn.FORMULATEXT(C192))-1)))=TRUE,"",C192)</f>
        <v>2</v>
      </c>
      <c r="C192" s="258">
        <f>'CDS-B'!E95</f>
        <v>2</v>
      </c>
      <c r="D192" s="17" t="s">
        <v>55</v>
      </c>
      <c r="E192" s="48">
        <v>158</v>
      </c>
      <c r="F192" s="17" t="s">
        <v>384</v>
      </c>
      <c r="G192" s="17"/>
      <c r="H192" s="27" t="s">
        <v>203</v>
      </c>
    </row>
    <row r="193" spans="1:8" x14ac:dyDescent="0.2">
      <c r="A193" s="44" t="s">
        <v>242</v>
      </c>
      <c r="B193" s="257" cm="1">
        <f t="array" aca="1" ref="B193" ca="1">IF(ISBLANK(INDIRECT(MID(_xlfn.FORMULATEXT(C193),2,LEN(_xlfn.FORMULATEXT(C193))-1)))=TRUE,"",C193)</f>
        <v>1</v>
      </c>
      <c r="C193" s="258">
        <f>'CDS-B'!F95</f>
        <v>1</v>
      </c>
      <c r="D193" s="17" t="s">
        <v>55</v>
      </c>
      <c r="E193" s="48">
        <v>159</v>
      </c>
      <c r="F193" s="17" t="s">
        <v>384</v>
      </c>
      <c r="G193" s="17"/>
      <c r="H193" s="27" t="s">
        <v>205</v>
      </c>
    </row>
    <row r="194" spans="1:8" x14ac:dyDescent="0.2">
      <c r="A194" s="44" t="s">
        <v>243</v>
      </c>
      <c r="B194" s="257" cm="1">
        <f t="array" aca="1" ref="B194" ca="1">IF(ISBLANK(INDIRECT(MID(_xlfn.FORMULATEXT(C194),2,LEN(_xlfn.FORMULATEXT(C194))-1)))=TRUE,"",C194)</f>
        <v>4</v>
      </c>
      <c r="C194" s="258">
        <f>'CDS-B'!G95</f>
        <v>4</v>
      </c>
      <c r="D194" s="17" t="s">
        <v>55</v>
      </c>
      <c r="E194" s="48">
        <v>160</v>
      </c>
      <c r="F194" s="17" t="s">
        <v>74</v>
      </c>
      <c r="G194" s="17"/>
      <c r="H194" s="27" t="s">
        <v>207</v>
      </c>
    </row>
    <row r="195" spans="1:8" x14ac:dyDescent="0.2">
      <c r="A195" s="44" t="s">
        <v>244</v>
      </c>
      <c r="B195" s="257" cm="1">
        <f t="array" aca="1" ref="B195" ca="1">IF(ISBLANK(INDIRECT(MID(_xlfn.FORMULATEXT(C195),2,LEN(_xlfn.FORMULATEXT(C195))-1)))=TRUE,"",C195)</f>
        <v>125</v>
      </c>
      <c r="C195" s="258">
        <f>'CDS-B'!D96</f>
        <v>125</v>
      </c>
      <c r="D195" s="17" t="s">
        <v>55</v>
      </c>
      <c r="E195" s="48">
        <v>161</v>
      </c>
      <c r="F195" s="17" t="s">
        <v>384</v>
      </c>
      <c r="G195" s="17"/>
      <c r="H195" s="77" t="s">
        <v>209</v>
      </c>
    </row>
    <row r="196" spans="1:8" x14ac:dyDescent="0.2">
      <c r="A196" s="44" t="s">
        <v>245</v>
      </c>
      <c r="B196" s="257" cm="1">
        <f t="array" aca="1" ref="B196" ca="1">IF(ISBLANK(INDIRECT(MID(_xlfn.FORMULATEXT(C196),2,LEN(_xlfn.FORMULATEXT(C196))-1)))=TRUE,"",C196)</f>
        <v>113</v>
      </c>
      <c r="C196" s="258">
        <f>'CDS-B'!E96</f>
        <v>113</v>
      </c>
      <c r="D196" s="17" t="s">
        <v>55</v>
      </c>
      <c r="E196" s="48">
        <v>162</v>
      </c>
      <c r="F196" s="17" t="s">
        <v>384</v>
      </c>
      <c r="G196" s="17"/>
      <c r="H196" s="95" t="s">
        <v>211</v>
      </c>
    </row>
    <row r="197" spans="1:8" x14ac:dyDescent="0.2">
      <c r="A197" s="44" t="s">
        <v>246</v>
      </c>
      <c r="B197" s="257" cm="1">
        <f t="array" aca="1" ref="B197" ca="1">IF(ISBLANK(INDIRECT(MID(_xlfn.FORMULATEXT(C197),2,LEN(_xlfn.FORMULATEXT(C197))-1)))=TRUE,"",C197)</f>
        <v>134</v>
      </c>
      <c r="C197" s="258">
        <f>'CDS-B'!F96</f>
        <v>134</v>
      </c>
      <c r="D197" s="17" t="s">
        <v>55</v>
      </c>
      <c r="E197" s="48">
        <v>163</v>
      </c>
      <c r="F197" s="17" t="s">
        <v>384</v>
      </c>
      <c r="G197" s="17"/>
      <c r="H197" s="95" t="s">
        <v>213</v>
      </c>
    </row>
    <row r="198" spans="1:8" x14ac:dyDescent="0.2">
      <c r="A198" s="44" t="s">
        <v>247</v>
      </c>
      <c r="B198" s="257" cm="1">
        <f t="array" aca="1" ref="B198" ca="1">IF(ISBLANK(INDIRECT(MID(_xlfn.FORMULATEXT(C198),2,LEN(_xlfn.FORMULATEXT(C198))-1)))=TRUE,"",C198)</f>
        <v>372</v>
      </c>
      <c r="C198" s="258">
        <f>'CDS-B'!G96</f>
        <v>372</v>
      </c>
      <c r="D198" s="17" t="s">
        <v>55</v>
      </c>
      <c r="E198" s="48">
        <v>164</v>
      </c>
      <c r="F198" s="17" t="s">
        <v>74</v>
      </c>
      <c r="G198" s="17"/>
      <c r="H198" s="95" t="s">
        <v>215</v>
      </c>
    </row>
    <row r="199" spans="1:8" x14ac:dyDescent="0.2">
      <c r="A199" s="44" t="s">
        <v>248</v>
      </c>
      <c r="B199" s="257" cm="1">
        <f t="array" aca="1" ref="B199" ca="1">IF(ISBLANK(INDIRECT(MID(_xlfn.FORMULATEXT(C199),2,LEN(_xlfn.FORMULATEXT(C199))-1)))=TRUE,"",C199)</f>
        <v>62.1</v>
      </c>
      <c r="C199" s="260">
        <f>ROUND(TRUNC(G199*100, 1), 1)</f>
        <v>62.1</v>
      </c>
      <c r="D199" s="17" t="s">
        <v>55</v>
      </c>
      <c r="E199" s="48">
        <v>165</v>
      </c>
      <c r="F199" s="17" t="s">
        <v>74</v>
      </c>
      <c r="G199" s="110">
        <f>'CDS-B'!D97</f>
        <v>0.62189054726368154</v>
      </c>
      <c r="H199" s="77" t="s">
        <v>216</v>
      </c>
    </row>
    <row r="200" spans="1:8" x14ac:dyDescent="0.2">
      <c r="A200" s="44" t="s">
        <v>249</v>
      </c>
      <c r="B200" s="257" cm="1">
        <f t="array" aca="1" ref="B200" ca="1">IF(ISBLANK(INDIRECT(MID(_xlfn.FORMULATEXT(C200),2,LEN(_xlfn.FORMULATEXT(C200))-1)))=TRUE,"",C200)</f>
        <v>67.599999999999994</v>
      </c>
      <c r="C200" s="260">
        <f>ROUND(TRUNC(G200*100, 1), 1)</f>
        <v>67.599999999999994</v>
      </c>
      <c r="D200" s="17" t="s">
        <v>55</v>
      </c>
      <c r="E200" s="48">
        <v>166</v>
      </c>
      <c r="F200" s="17" t="s">
        <v>74</v>
      </c>
      <c r="G200" s="110">
        <f>'CDS-B'!E97</f>
        <v>0.67664670658682635</v>
      </c>
      <c r="H200" s="95" t="s">
        <v>217</v>
      </c>
    </row>
    <row r="201" spans="1:8" x14ac:dyDescent="0.2">
      <c r="A201" s="44" t="s">
        <v>250</v>
      </c>
      <c r="B201" s="257" cm="1">
        <f t="array" aca="1" ref="B201" ca="1">IF(ISBLANK(INDIRECT(MID(_xlfn.FORMULATEXT(C201),2,LEN(_xlfn.FORMULATEXT(C201))-1)))=TRUE,"",C201)</f>
        <v>74</v>
      </c>
      <c r="C201" s="260">
        <f>ROUND(TRUNC(G201*100, 1), 1)</f>
        <v>74</v>
      </c>
      <c r="D201" s="17" t="s">
        <v>55</v>
      </c>
      <c r="E201" s="48">
        <v>167</v>
      </c>
      <c r="F201" s="17" t="s">
        <v>74</v>
      </c>
      <c r="G201" s="110">
        <f>'CDS-B'!F97</f>
        <v>0.74033149171270718</v>
      </c>
      <c r="H201" s="95" t="s">
        <v>218</v>
      </c>
    </row>
    <row r="202" spans="1:8" x14ac:dyDescent="0.2">
      <c r="A202" s="44" t="s">
        <v>251</v>
      </c>
      <c r="B202" s="257" cm="1">
        <f t="array" aca="1" ref="B202" ca="1">IF(ISBLANK(INDIRECT(MID(_xlfn.FORMULATEXT(C202),2,LEN(_xlfn.FORMULATEXT(C202))-1)))=TRUE,"",C202)</f>
        <v>67.7</v>
      </c>
      <c r="C202" s="260">
        <f>ROUND(TRUNC(G202*100,1), 1)</f>
        <v>67.7</v>
      </c>
      <c r="D202" s="17" t="s">
        <v>55</v>
      </c>
      <c r="E202" s="48">
        <v>168</v>
      </c>
      <c r="F202" s="17" t="s">
        <v>74</v>
      </c>
      <c r="G202" s="110">
        <f>'CDS-B'!G97</f>
        <v>0.67759562841530052</v>
      </c>
      <c r="H202" s="95" t="s">
        <v>219</v>
      </c>
    </row>
    <row r="203" spans="1:8" ht="17" x14ac:dyDescent="0.2">
      <c r="A203" s="44" t="s">
        <v>252</v>
      </c>
      <c r="B203" s="257" t="str" cm="1">
        <f t="array" aca="1" ref="B203" ca="1">IF(ISBLANK(INDIRECT(MID(_xlfn.FORMULATEXT(C203),2,LEN(_xlfn.FORMULATEXT(C203))-1)))=TRUE,"",C203)</f>
        <v/>
      </c>
      <c r="C203" s="258">
        <f>'CDS-B'!D102</f>
        <v>0</v>
      </c>
      <c r="D203" s="17" t="s">
        <v>55</v>
      </c>
      <c r="E203" s="48">
        <v>169</v>
      </c>
      <c r="F203" s="17" t="s">
        <v>384</v>
      </c>
      <c r="G203" s="17"/>
      <c r="H203" s="27" t="s">
        <v>253</v>
      </c>
    </row>
    <row r="204" spans="1:8" ht="17" x14ac:dyDescent="0.2">
      <c r="A204" s="44" t="s">
        <v>254</v>
      </c>
      <c r="B204" s="257" t="str" cm="1">
        <f t="array" aca="1" ref="B204" ca="1">IF(ISBLANK(INDIRECT(MID(_xlfn.FORMULATEXT(C204),2,LEN(_xlfn.FORMULATEXT(C204))-1)))=TRUE,"",C204)</f>
        <v/>
      </c>
      <c r="C204" s="258">
        <f>'CDS-B'!D103</f>
        <v>0</v>
      </c>
      <c r="D204" s="17" t="s">
        <v>55</v>
      </c>
      <c r="E204" s="48">
        <v>170</v>
      </c>
      <c r="F204" s="17" t="s">
        <v>384</v>
      </c>
      <c r="G204" s="17"/>
      <c r="H204" s="27" t="s">
        <v>253</v>
      </c>
    </row>
    <row r="205" spans="1:8" x14ac:dyDescent="0.2">
      <c r="A205" s="44" t="s">
        <v>255</v>
      </c>
      <c r="B205" s="257" cm="1">
        <f t="array" aca="1" ref="B205" ca="1">IF(ISBLANK(INDIRECT(MID(_xlfn.FORMULATEXT(C205),2,LEN(_xlfn.FORMULATEXT(C205))-1)))=TRUE,"",C205)</f>
        <v>0</v>
      </c>
      <c r="C205" s="258">
        <f>'CDS-B'!D104</f>
        <v>0</v>
      </c>
      <c r="D205" s="17" t="s">
        <v>55</v>
      </c>
      <c r="E205" s="48">
        <v>171</v>
      </c>
      <c r="F205" s="17" t="s">
        <v>384</v>
      </c>
      <c r="G205" s="17"/>
      <c r="H205" s="27" t="s">
        <v>253</v>
      </c>
    </row>
    <row r="206" spans="1:8" ht="17" x14ac:dyDescent="0.2">
      <c r="A206" s="44" t="s">
        <v>256</v>
      </c>
      <c r="B206" s="257" t="str" cm="1">
        <f t="array" aca="1" ref="B206" ca="1">IF(ISBLANK(INDIRECT(MID(_xlfn.FORMULATEXT(C206),2,LEN(_xlfn.FORMULATEXT(C206))-1)))=TRUE,"",C206)</f>
        <v/>
      </c>
      <c r="C206" s="258">
        <f>'CDS-B'!D105</f>
        <v>0</v>
      </c>
      <c r="D206" s="17" t="s">
        <v>55</v>
      </c>
      <c r="E206" s="48">
        <v>172</v>
      </c>
      <c r="F206" s="17" t="s">
        <v>384</v>
      </c>
      <c r="G206" s="17"/>
      <c r="H206" s="27" t="s">
        <v>253</v>
      </c>
    </row>
    <row r="207" spans="1:8" ht="17" x14ac:dyDescent="0.2">
      <c r="A207" s="44" t="s">
        <v>257</v>
      </c>
      <c r="B207" s="257" t="str" cm="1">
        <f t="array" aca="1" ref="B207" ca="1">IF(ISBLANK(INDIRECT(MID(_xlfn.FORMULATEXT(C207),2,LEN(_xlfn.FORMULATEXT(C207))-1)))=TRUE,"",C207)</f>
        <v/>
      </c>
      <c r="C207" s="258">
        <f>'CDS-B'!D106</f>
        <v>0</v>
      </c>
      <c r="D207" s="17" t="s">
        <v>55</v>
      </c>
      <c r="E207" s="48">
        <v>173</v>
      </c>
      <c r="F207" s="17" t="s">
        <v>384</v>
      </c>
      <c r="G207" s="17"/>
      <c r="H207" s="27" t="s">
        <v>253</v>
      </c>
    </row>
    <row r="208" spans="1:8" ht="17" x14ac:dyDescent="0.2">
      <c r="A208" s="44" t="s">
        <v>258</v>
      </c>
      <c r="B208" s="257" t="str" cm="1">
        <f t="array" aca="1" ref="B208" ca="1">IF(ISBLANK(INDIRECT(MID(_xlfn.FORMULATEXT(C208),2,LEN(_xlfn.FORMULATEXT(C208))-1)))=TRUE,"",C208)</f>
        <v/>
      </c>
      <c r="C208" s="258">
        <f>'CDS-B'!D107</f>
        <v>0</v>
      </c>
      <c r="D208" s="17" t="s">
        <v>55</v>
      </c>
      <c r="E208" s="48">
        <v>174</v>
      </c>
      <c r="F208" s="17" t="s">
        <v>384</v>
      </c>
      <c r="G208" s="17"/>
      <c r="H208" s="27" t="s">
        <v>253</v>
      </c>
    </row>
    <row r="209" spans="1:8" ht="17" x14ac:dyDescent="0.2">
      <c r="A209" s="44" t="s">
        <v>259</v>
      </c>
      <c r="B209" s="257" t="str" cm="1">
        <f t="array" aca="1" ref="B209" ca="1">IF(ISBLANK(INDIRECT(MID(_xlfn.FORMULATEXT(C209),2,LEN(_xlfn.FORMULATEXT(C209))-1)))=TRUE,"",C209)</f>
        <v/>
      </c>
      <c r="C209" s="258">
        <f>'CDS-B'!D108</f>
        <v>0</v>
      </c>
      <c r="D209" s="17" t="s">
        <v>55</v>
      </c>
      <c r="E209" s="48">
        <v>175</v>
      </c>
      <c r="F209" s="17" t="s">
        <v>384</v>
      </c>
      <c r="G209" s="17"/>
      <c r="H209" s="27" t="s">
        <v>253</v>
      </c>
    </row>
    <row r="210" spans="1:8" ht="17" x14ac:dyDescent="0.2">
      <c r="A210" s="44" t="s">
        <v>260</v>
      </c>
      <c r="B210" s="257" t="str" cm="1">
        <f t="array" aca="1" ref="B210" ca="1">IF(ISBLANK(INDIRECT(MID(_xlfn.FORMULATEXT(C210),2,LEN(_xlfn.FORMULATEXT(C210))-1)))=TRUE,"",C210)</f>
        <v/>
      </c>
      <c r="C210" s="258">
        <f>'CDS-B'!D109</f>
        <v>0</v>
      </c>
      <c r="D210" s="17" t="s">
        <v>55</v>
      </c>
      <c r="E210" s="48">
        <v>176</v>
      </c>
      <c r="F210" s="17" t="s">
        <v>384</v>
      </c>
      <c r="G210" s="17"/>
      <c r="H210" s="27" t="s">
        <v>253</v>
      </c>
    </row>
    <row r="211" spans="1:8" ht="17" x14ac:dyDescent="0.2">
      <c r="A211" s="44" t="s">
        <v>261</v>
      </c>
      <c r="B211" s="257" t="str" cm="1">
        <f t="array" aca="1" ref="B211" ca="1">IF(ISBLANK(INDIRECT(MID(_xlfn.FORMULATEXT(C211),2,LEN(_xlfn.FORMULATEXT(C211))-1)))=TRUE,"",C211)</f>
        <v/>
      </c>
      <c r="C211" s="258">
        <f>'CDS-B'!D110</f>
        <v>0</v>
      </c>
      <c r="D211" s="17" t="s">
        <v>55</v>
      </c>
      <c r="E211" s="48">
        <v>177</v>
      </c>
      <c r="F211" s="17" t="s">
        <v>384</v>
      </c>
      <c r="G211" s="17"/>
      <c r="H211" s="27" t="s">
        <v>253</v>
      </c>
    </row>
    <row r="212" spans="1:8" ht="17" x14ac:dyDescent="0.2">
      <c r="A212" s="44" t="s">
        <v>262</v>
      </c>
      <c r="B212" s="257" t="str" cm="1">
        <f t="array" aca="1" ref="B212" ca="1">IF(ISBLANK(INDIRECT(MID(_xlfn.FORMULATEXT(C212),2,LEN(_xlfn.FORMULATEXT(C212))-1)))=TRUE,"",C212)</f>
        <v/>
      </c>
      <c r="C212" s="258">
        <f>'CDS-B'!D111</f>
        <v>0</v>
      </c>
      <c r="D212" s="17" t="s">
        <v>55</v>
      </c>
      <c r="E212" s="48">
        <v>178</v>
      </c>
      <c r="F212" s="17" t="s">
        <v>384</v>
      </c>
      <c r="G212" s="17"/>
      <c r="H212" s="27" t="s">
        <v>263</v>
      </c>
    </row>
    <row r="213" spans="1:8" ht="17" x14ac:dyDescent="0.2">
      <c r="A213" s="44" t="s">
        <v>264</v>
      </c>
      <c r="B213" s="257" t="str" cm="1">
        <f t="array" aca="1" ref="B213" ca="1">IF(ISBLANK(INDIRECT(MID(_xlfn.FORMULATEXT(C213),2,LEN(_xlfn.FORMULATEXT(C213))-1)))=TRUE,"",C213)</f>
        <v/>
      </c>
      <c r="C213" s="258">
        <f>'CDS-B'!E102</f>
        <v>0</v>
      </c>
      <c r="D213" s="17" t="s">
        <v>55</v>
      </c>
      <c r="E213" s="48">
        <v>179</v>
      </c>
      <c r="F213" s="17" t="s">
        <v>384</v>
      </c>
      <c r="G213" s="17"/>
      <c r="H213" s="27" t="s">
        <v>263</v>
      </c>
    </row>
    <row r="214" spans="1:8" ht="17" x14ac:dyDescent="0.2">
      <c r="A214" s="44" t="s">
        <v>265</v>
      </c>
      <c r="B214" s="257" t="str" cm="1">
        <f t="array" aca="1" ref="B214" ca="1">IF(ISBLANK(INDIRECT(MID(_xlfn.FORMULATEXT(C214),2,LEN(_xlfn.FORMULATEXT(C214))-1)))=TRUE,"",C214)</f>
        <v/>
      </c>
      <c r="C214" s="258">
        <f>'CDS-B'!E103</f>
        <v>0</v>
      </c>
      <c r="D214" s="17" t="s">
        <v>55</v>
      </c>
      <c r="E214" s="48">
        <v>180</v>
      </c>
      <c r="F214" s="17" t="s">
        <v>384</v>
      </c>
      <c r="G214" s="17"/>
      <c r="H214" s="27" t="s">
        <v>263</v>
      </c>
    </row>
    <row r="215" spans="1:8" x14ac:dyDescent="0.2">
      <c r="A215" s="44" t="s">
        <v>266</v>
      </c>
      <c r="B215" s="257" cm="1">
        <f t="array" aca="1" ref="B215" ca="1">IF(ISBLANK(INDIRECT(MID(_xlfn.FORMULATEXT(C215),2,LEN(_xlfn.FORMULATEXT(C215))-1)))=TRUE,"",C215)</f>
        <v>0</v>
      </c>
      <c r="C215" s="258">
        <f>'CDS-B'!E104</f>
        <v>0</v>
      </c>
      <c r="D215" s="17" t="s">
        <v>55</v>
      </c>
      <c r="E215" s="48">
        <v>181</v>
      </c>
      <c r="F215" s="17" t="s">
        <v>384</v>
      </c>
      <c r="G215" s="17"/>
      <c r="H215" s="27" t="s">
        <v>263</v>
      </c>
    </row>
    <row r="216" spans="1:8" ht="17" x14ac:dyDescent="0.2">
      <c r="A216" s="44" t="s">
        <v>267</v>
      </c>
      <c r="B216" s="257" t="str" cm="1">
        <f t="array" aca="1" ref="B216" ca="1">IF(ISBLANK(INDIRECT(MID(_xlfn.FORMULATEXT(C216),2,LEN(_xlfn.FORMULATEXT(C216))-1)))=TRUE,"",C216)</f>
        <v/>
      </c>
      <c r="C216" s="258">
        <f>'CDS-B'!E105</f>
        <v>0</v>
      </c>
      <c r="D216" s="17" t="s">
        <v>55</v>
      </c>
      <c r="E216" s="48">
        <v>182</v>
      </c>
      <c r="F216" s="17" t="s">
        <v>384</v>
      </c>
      <c r="G216" s="17"/>
      <c r="H216" s="27" t="s">
        <v>263</v>
      </c>
    </row>
    <row r="217" spans="1:8" ht="17" x14ac:dyDescent="0.2">
      <c r="A217" s="44" t="s">
        <v>268</v>
      </c>
      <c r="B217" s="257" t="str" cm="1">
        <f t="array" aca="1" ref="B217" ca="1">IF(ISBLANK(INDIRECT(MID(_xlfn.FORMULATEXT(C217),2,LEN(_xlfn.FORMULATEXT(C217))-1)))=TRUE,"",C217)</f>
        <v/>
      </c>
      <c r="C217" s="258">
        <f>'CDS-B'!E106</f>
        <v>0</v>
      </c>
      <c r="D217" s="17" t="s">
        <v>55</v>
      </c>
      <c r="E217" s="48">
        <v>183</v>
      </c>
      <c r="F217" s="17" t="s">
        <v>384</v>
      </c>
      <c r="G217" s="17"/>
      <c r="H217" s="27" t="s">
        <v>263</v>
      </c>
    </row>
    <row r="218" spans="1:8" ht="17" x14ac:dyDescent="0.2">
      <c r="A218" s="44" t="s">
        <v>269</v>
      </c>
      <c r="B218" s="257" t="str" cm="1">
        <f t="array" aca="1" ref="B218" ca="1">IF(ISBLANK(INDIRECT(MID(_xlfn.FORMULATEXT(C218),2,LEN(_xlfn.FORMULATEXT(C218))-1)))=TRUE,"",C218)</f>
        <v/>
      </c>
      <c r="C218" s="258">
        <f>'CDS-B'!E107</f>
        <v>0</v>
      </c>
      <c r="D218" s="17" t="s">
        <v>55</v>
      </c>
      <c r="E218" s="48">
        <v>184</v>
      </c>
      <c r="F218" s="17" t="s">
        <v>384</v>
      </c>
      <c r="G218" s="17"/>
      <c r="H218" s="27" t="s">
        <v>263</v>
      </c>
    </row>
    <row r="219" spans="1:8" ht="17" x14ac:dyDescent="0.2">
      <c r="A219" s="44" t="s">
        <v>270</v>
      </c>
      <c r="B219" s="257" t="str" cm="1">
        <f t="array" aca="1" ref="B219" ca="1">IF(ISBLANK(INDIRECT(MID(_xlfn.FORMULATEXT(C219),2,LEN(_xlfn.FORMULATEXT(C219))-1)))=TRUE,"",C219)</f>
        <v/>
      </c>
      <c r="C219" s="258">
        <f>'CDS-B'!E108</f>
        <v>0</v>
      </c>
      <c r="D219" s="17" t="s">
        <v>55</v>
      </c>
      <c r="E219" s="48">
        <v>185</v>
      </c>
      <c r="F219" s="17" t="s">
        <v>384</v>
      </c>
      <c r="G219" s="17"/>
      <c r="H219" s="27" t="s">
        <v>263</v>
      </c>
    </row>
    <row r="220" spans="1:8" ht="17" x14ac:dyDescent="0.2">
      <c r="A220" s="44" t="s">
        <v>271</v>
      </c>
      <c r="B220" s="257" t="str" cm="1">
        <f t="array" aca="1" ref="B220" ca="1">IF(ISBLANK(INDIRECT(MID(_xlfn.FORMULATEXT(C220),2,LEN(_xlfn.FORMULATEXT(C220))-1)))=TRUE,"",C220)</f>
        <v/>
      </c>
      <c r="C220" s="258">
        <f>'CDS-B'!E109</f>
        <v>0</v>
      </c>
      <c r="D220" s="17" t="s">
        <v>55</v>
      </c>
      <c r="E220" s="48">
        <v>186</v>
      </c>
      <c r="F220" s="17" t="s">
        <v>384</v>
      </c>
      <c r="G220" s="17"/>
      <c r="H220" s="27" t="s">
        <v>263</v>
      </c>
    </row>
    <row r="221" spans="1:8" ht="17" x14ac:dyDescent="0.2">
      <c r="A221" s="44" t="s">
        <v>272</v>
      </c>
      <c r="B221" s="257" t="str" cm="1">
        <f t="array" aca="1" ref="B221" ca="1">IF(ISBLANK(INDIRECT(MID(_xlfn.FORMULATEXT(C221),2,LEN(_xlfn.FORMULATEXT(C221))-1)))=TRUE,"",C221)</f>
        <v/>
      </c>
      <c r="C221" s="258">
        <f>'CDS-B'!E110</f>
        <v>0</v>
      </c>
      <c r="D221" s="17" t="s">
        <v>55</v>
      </c>
      <c r="E221" s="48">
        <v>187</v>
      </c>
      <c r="F221" s="17" t="s">
        <v>384</v>
      </c>
      <c r="G221" s="17"/>
      <c r="H221" s="27" t="s">
        <v>263</v>
      </c>
    </row>
    <row r="222" spans="1:8" ht="17" x14ac:dyDescent="0.2">
      <c r="A222" s="44" t="s">
        <v>273</v>
      </c>
      <c r="B222" s="257" t="str" cm="1">
        <f t="array" aca="1" ref="B222" ca="1">IF(ISBLANK(INDIRECT(MID(_xlfn.FORMULATEXT(C222),2,LEN(_xlfn.FORMULATEXT(C222))-1)))=TRUE,"",C222)</f>
        <v/>
      </c>
      <c r="C222" s="258">
        <f>'CDS-B'!E111</f>
        <v>0</v>
      </c>
      <c r="D222" s="17" t="s">
        <v>55</v>
      </c>
      <c r="E222" s="48">
        <v>188</v>
      </c>
      <c r="F222" s="17" t="s">
        <v>384</v>
      </c>
      <c r="G222" s="17"/>
      <c r="H222" s="27" t="s">
        <v>263</v>
      </c>
    </row>
    <row r="223" spans="1:8" x14ac:dyDescent="0.2">
      <c r="A223" s="44" t="s">
        <v>274</v>
      </c>
      <c r="B223" s="257" cm="1">
        <f t="array" aca="1" ref="B223" ca="1">IF(ISBLANK(INDIRECT(MID(_xlfn.FORMULATEXT(C223),2,LEN(_xlfn.FORMULATEXT(C223))-1)))=TRUE,"",C223)</f>
        <v>85</v>
      </c>
      <c r="C223" s="260">
        <f>G223*100</f>
        <v>85</v>
      </c>
      <c r="D223" s="17" t="s">
        <v>55</v>
      </c>
      <c r="E223" s="48">
        <v>189</v>
      </c>
      <c r="F223" s="17" t="s">
        <v>384</v>
      </c>
      <c r="G223" s="247">
        <f>'CDS-B'!B142</f>
        <v>0.85</v>
      </c>
      <c r="H223" s="27" t="s">
        <v>275</v>
      </c>
    </row>
    <row r="224" spans="1:8" x14ac:dyDescent="0.2">
      <c r="A224" s="64" t="s">
        <v>276</v>
      </c>
      <c r="B224" s="257" cm="1">
        <f t="array" aca="1" ref="B224" ca="1">IF(ISBLANK(INDIRECT(MID(_xlfn.FORMULATEXT(C224),2,LEN(_xlfn.FORMULATEXT(C224))-1)))=TRUE,"",C224)</f>
        <v>2608</v>
      </c>
      <c r="C224" s="258">
        <f>'CDS-C'!B6</f>
        <v>2608</v>
      </c>
      <c r="D224" s="17" t="s">
        <v>277</v>
      </c>
      <c r="E224" s="48">
        <v>1</v>
      </c>
      <c r="F224" s="17" t="s">
        <v>384</v>
      </c>
      <c r="G224" s="17"/>
      <c r="H224" s="60"/>
    </row>
    <row r="225" spans="1:8" x14ac:dyDescent="0.2">
      <c r="A225" s="64" t="s">
        <v>278</v>
      </c>
      <c r="B225" s="257" cm="1">
        <f t="array" aca="1" ref="B225" ca="1">IF(ISBLANK(INDIRECT(MID(_xlfn.FORMULATEXT(C225),2,LEN(_xlfn.FORMULATEXT(C225))-1)))=TRUE,"",C225)</f>
        <v>2436</v>
      </c>
      <c r="C225" s="258">
        <f>'CDS-C'!C6</f>
        <v>2436</v>
      </c>
      <c r="D225" s="17" t="s">
        <v>277</v>
      </c>
      <c r="E225" s="48">
        <v>2</v>
      </c>
      <c r="F225" s="17" t="s">
        <v>384</v>
      </c>
      <c r="G225" s="17"/>
    </row>
    <row r="226" spans="1:8" x14ac:dyDescent="0.2">
      <c r="A226" s="64" t="s">
        <v>279</v>
      </c>
      <c r="B226" s="257" cm="1">
        <f t="array" aca="1" ref="B226" ca="1">IF(ISBLANK(INDIRECT(MID(_xlfn.FORMULATEXT(C226),2,LEN(_xlfn.FORMULATEXT(C226))-1)))=TRUE,"",C226)</f>
        <v>1</v>
      </c>
      <c r="C226" s="258">
        <f>'CDS-C'!D6</f>
        <v>1</v>
      </c>
      <c r="D226" s="17" t="s">
        <v>277</v>
      </c>
      <c r="E226" s="48">
        <v>3</v>
      </c>
      <c r="F226" s="17" t="s">
        <v>384</v>
      </c>
      <c r="G226" s="17"/>
    </row>
    <row r="227" spans="1:8" x14ac:dyDescent="0.2">
      <c r="A227" s="64" t="s">
        <v>280</v>
      </c>
      <c r="B227" s="257" cm="1">
        <f t="array" aca="1" ref="B227" ca="1">IF(ISBLANK(INDIRECT(MID(_xlfn.FORMULATEXT(C227),2,LEN(_xlfn.FORMULATEXT(C227))-1)))=TRUE,"",C227)</f>
        <v>1366</v>
      </c>
      <c r="C227" s="258">
        <f>'CDS-C'!B8</f>
        <v>1366</v>
      </c>
      <c r="D227" s="17" t="s">
        <v>277</v>
      </c>
      <c r="E227" s="48">
        <v>4</v>
      </c>
      <c r="F227" s="17" t="s">
        <v>384</v>
      </c>
      <c r="G227" s="17"/>
    </row>
    <row r="228" spans="1:8" x14ac:dyDescent="0.2">
      <c r="A228" s="64" t="s">
        <v>281</v>
      </c>
      <c r="B228" s="257" cm="1">
        <f t="array" aca="1" ref="B228" ca="1">IF(ISBLANK(INDIRECT(MID(_xlfn.FORMULATEXT(C228),2,LEN(_xlfn.FORMULATEXT(C228))-1)))=TRUE,"",C228)</f>
        <v>1586</v>
      </c>
      <c r="C228" s="258">
        <f>'CDS-C'!C8</f>
        <v>1586</v>
      </c>
      <c r="D228" s="17" t="s">
        <v>277</v>
      </c>
      <c r="E228" s="48">
        <v>5</v>
      </c>
      <c r="F228" s="17" t="s">
        <v>384</v>
      </c>
      <c r="G228" s="17"/>
    </row>
    <row r="229" spans="1:8" x14ac:dyDescent="0.2">
      <c r="A229" s="64" t="s">
        <v>282</v>
      </c>
      <c r="B229" s="257" cm="1">
        <f t="array" aca="1" ref="B229" ca="1">IF(ISBLANK(INDIRECT(MID(_xlfn.FORMULATEXT(C229),2,LEN(_xlfn.FORMULATEXT(C229))-1)))=TRUE,"",C229)</f>
        <v>1</v>
      </c>
      <c r="C229" s="258">
        <f>'CDS-C'!D8</f>
        <v>1</v>
      </c>
      <c r="D229" s="17" t="s">
        <v>277</v>
      </c>
      <c r="E229" s="48">
        <v>6</v>
      </c>
      <c r="F229" s="17" t="s">
        <v>384</v>
      </c>
      <c r="G229" s="17"/>
    </row>
    <row r="230" spans="1:8" x14ac:dyDescent="0.2">
      <c r="A230" s="44" t="s">
        <v>283</v>
      </c>
      <c r="B230" s="257" cm="1">
        <f t="array" aca="1" ref="B230" ca="1">IF(ISBLANK(INDIRECT(MID(_xlfn.FORMULATEXT(C230),2,LEN(_xlfn.FORMULATEXT(C230))-1)))=TRUE,"",C230)</f>
        <v>141</v>
      </c>
      <c r="C230" s="258">
        <f>'CDS-C'!B10</f>
        <v>141</v>
      </c>
      <c r="D230" s="17" t="s">
        <v>277</v>
      </c>
      <c r="E230" s="48">
        <v>7</v>
      </c>
      <c r="F230" s="17" t="s">
        <v>384</v>
      </c>
      <c r="G230" s="17"/>
      <c r="H230" s="31"/>
    </row>
    <row r="231" spans="1:8" x14ac:dyDescent="0.2">
      <c r="A231" s="44" t="s">
        <v>284</v>
      </c>
      <c r="B231" s="257" cm="1">
        <f t="array" aca="1" ref="B231" ca="1">IF(ISBLANK(INDIRECT(MID(_xlfn.FORMULATEXT(C231),2,LEN(_xlfn.FORMULATEXT(C231))-1)))=TRUE,"",C231)</f>
        <v>143</v>
      </c>
      <c r="C231" s="258">
        <f>'CDS-C'!C10</f>
        <v>143</v>
      </c>
      <c r="D231" s="17" t="s">
        <v>277</v>
      </c>
      <c r="E231" s="48">
        <v>8</v>
      </c>
      <c r="F231" s="17" t="s">
        <v>384</v>
      </c>
      <c r="G231" s="17"/>
      <c r="H231" s="98"/>
    </row>
    <row r="232" spans="1:8" x14ac:dyDescent="0.2">
      <c r="A232" s="44" t="s">
        <v>285</v>
      </c>
      <c r="B232" s="257" cm="1">
        <f t="array" aca="1" ref="B232" ca="1">IF(ISBLANK(INDIRECT(MID(_xlfn.FORMULATEXT(C232),2,LEN(_xlfn.FORMULATEXT(C232))-1)))=TRUE,"",C232)</f>
        <v>1</v>
      </c>
      <c r="C232" s="258">
        <f>'CDS-C'!D10</f>
        <v>1</v>
      </c>
      <c r="D232" s="17" t="s">
        <v>277</v>
      </c>
      <c r="E232" s="48">
        <v>9</v>
      </c>
      <c r="F232" s="17" t="s">
        <v>384</v>
      </c>
      <c r="G232" s="17"/>
      <c r="H232" s="97"/>
    </row>
    <row r="233" spans="1:8" x14ac:dyDescent="0.2">
      <c r="A233" s="64" t="s">
        <v>286</v>
      </c>
      <c r="B233" s="257" cm="1">
        <f t="array" aca="1" ref="B233" ca="1">IF(ISBLANK(INDIRECT(MID(_xlfn.FORMULATEXT(C233),2,LEN(_xlfn.FORMULATEXT(C233))-1)))=TRUE,"",C233)</f>
        <v>141</v>
      </c>
      <c r="C233" s="258">
        <f>'CDS-C'!B12</f>
        <v>141</v>
      </c>
      <c r="D233" s="17" t="s">
        <v>277</v>
      </c>
      <c r="E233" s="48">
        <v>10</v>
      </c>
      <c r="F233" s="17" t="s">
        <v>384</v>
      </c>
      <c r="G233" s="17"/>
      <c r="H233" s="27"/>
    </row>
    <row r="234" spans="1:8" x14ac:dyDescent="0.2">
      <c r="A234" s="64" t="s">
        <v>287</v>
      </c>
      <c r="B234" s="257" cm="1">
        <f t="array" aca="1" ref="B234" ca="1">IF(ISBLANK(INDIRECT(MID(_xlfn.FORMULATEXT(C234),2,LEN(_xlfn.FORMULATEXT(C234))-1)))=TRUE,"",C234)</f>
        <v>0</v>
      </c>
      <c r="C234" s="258">
        <f>'CDS-C'!B14</f>
        <v>0</v>
      </c>
      <c r="D234" s="17" t="s">
        <v>277</v>
      </c>
      <c r="E234" s="48">
        <v>11</v>
      </c>
      <c r="F234" s="17" t="s">
        <v>384</v>
      </c>
      <c r="G234" s="17"/>
      <c r="H234" s="27"/>
    </row>
    <row r="235" spans="1:8" x14ac:dyDescent="0.2">
      <c r="A235" s="64" t="s">
        <v>288</v>
      </c>
      <c r="B235" s="257" cm="1">
        <f t="array" aca="1" ref="B235" ca="1">IF(ISBLANK(INDIRECT(MID(_xlfn.FORMULATEXT(C235),2,LEN(_xlfn.FORMULATEXT(C235))-1)))=TRUE,"",C235)</f>
        <v>141</v>
      </c>
      <c r="C235" s="258">
        <f>'CDS-C'!C12</f>
        <v>141</v>
      </c>
      <c r="D235" s="17" t="s">
        <v>277</v>
      </c>
      <c r="E235" s="48">
        <v>12</v>
      </c>
      <c r="F235" s="17" t="s">
        <v>384</v>
      </c>
      <c r="G235" s="17"/>
      <c r="H235" s="27"/>
    </row>
    <row r="236" spans="1:8" x14ac:dyDescent="0.2">
      <c r="A236" s="64" t="s">
        <v>289</v>
      </c>
      <c r="B236" s="257" cm="1">
        <f t="array" aca="1" ref="B236" ca="1">IF(ISBLANK(INDIRECT(MID(_xlfn.FORMULATEXT(C236),2,LEN(_xlfn.FORMULATEXT(C236))-1)))=TRUE,"",C236)</f>
        <v>2</v>
      </c>
      <c r="C236" s="258">
        <f>'CDS-C'!C14</f>
        <v>2</v>
      </c>
      <c r="D236" s="17" t="s">
        <v>277</v>
      </c>
      <c r="E236" s="48">
        <v>13</v>
      </c>
      <c r="F236" s="17" t="s">
        <v>384</v>
      </c>
      <c r="G236" s="17"/>
      <c r="H236" s="27"/>
    </row>
    <row r="237" spans="1:8" x14ac:dyDescent="0.2">
      <c r="A237" s="64" t="s">
        <v>290</v>
      </c>
      <c r="B237" s="257" cm="1">
        <f t="array" aca="1" ref="B237" ca="1">IF(ISBLANK(INDIRECT(MID(_xlfn.FORMULATEXT(C237),2,LEN(_xlfn.FORMULATEXT(C237))-1)))=TRUE,"",C237)</f>
        <v>1</v>
      </c>
      <c r="C237" s="258">
        <f>'CDS-C'!D12</f>
        <v>1</v>
      </c>
      <c r="D237" s="17" t="s">
        <v>277</v>
      </c>
      <c r="E237" s="48">
        <v>14</v>
      </c>
      <c r="F237" s="17" t="s">
        <v>384</v>
      </c>
      <c r="G237" s="17"/>
      <c r="H237" s="27"/>
    </row>
    <row r="238" spans="1:8" x14ac:dyDescent="0.2">
      <c r="A238" s="64" t="s">
        <v>291</v>
      </c>
      <c r="B238" s="257" cm="1">
        <f t="array" aca="1" ref="B238" ca="1">IF(ISBLANK(INDIRECT(MID(_xlfn.FORMULATEXT(C238),2,LEN(_xlfn.FORMULATEXT(C238))-1)))=TRUE,"",C238)</f>
        <v>0</v>
      </c>
      <c r="C238" s="258">
        <f>'CDS-C'!D14</f>
        <v>0</v>
      </c>
      <c r="D238" s="17" t="s">
        <v>277</v>
      </c>
      <c r="E238" s="48">
        <v>15</v>
      </c>
      <c r="F238" s="17" t="s">
        <v>384</v>
      </c>
      <c r="G238" s="17"/>
      <c r="H238" s="27"/>
    </row>
    <row r="239" spans="1:8" x14ac:dyDescent="0.2">
      <c r="A239" s="64" t="s">
        <v>292</v>
      </c>
      <c r="B239" s="257" cm="1">
        <f t="array" aca="1" ref="B239" ca="1">IF(ISBLANK(INDIRECT(MID(_xlfn.FORMULATEXT(C239),2,LEN(_xlfn.FORMULATEXT(C239))-1)))=TRUE,"",C239)</f>
        <v>4492</v>
      </c>
      <c r="C239" s="258">
        <f>'CDS-C'!E20</f>
        <v>4492</v>
      </c>
      <c r="D239" s="17" t="s">
        <v>277</v>
      </c>
      <c r="E239" s="48">
        <v>16</v>
      </c>
      <c r="F239" s="17" t="s">
        <v>384</v>
      </c>
      <c r="G239" s="17"/>
      <c r="H239" s="27" t="s">
        <v>293</v>
      </c>
    </row>
    <row r="240" spans="1:8" x14ac:dyDescent="0.2">
      <c r="A240" s="44" t="s">
        <v>294</v>
      </c>
      <c r="B240" s="257" cm="1">
        <f t="array" aca="1" ref="B240" ca="1">IF(ISBLANK(INDIRECT(MID(_xlfn.FORMULATEXT(C240),2,LEN(_xlfn.FORMULATEXT(C240))-1)))=TRUE,"",C240)</f>
        <v>1155</v>
      </c>
      <c r="C240" s="258">
        <f>'CDS-C'!B20</f>
        <v>1155</v>
      </c>
      <c r="D240" s="17" t="s">
        <v>277</v>
      </c>
      <c r="E240" s="48">
        <v>17</v>
      </c>
      <c r="F240" s="17" t="s">
        <v>384</v>
      </c>
      <c r="G240" s="17"/>
      <c r="H240" s="27" t="s">
        <v>295</v>
      </c>
    </row>
    <row r="241" spans="1:8" x14ac:dyDescent="0.2">
      <c r="A241" s="44" t="s">
        <v>296</v>
      </c>
      <c r="B241" s="257" cm="1">
        <f t="array" aca="1" ref="B241" ca="1">IF(ISBLANK(INDIRECT(MID(_xlfn.FORMULATEXT(C241),2,LEN(_xlfn.FORMULATEXT(C241))-1)))=TRUE,"",C241)</f>
        <v>2328</v>
      </c>
      <c r="C241" s="258">
        <f>'CDS-C'!C20</f>
        <v>2328</v>
      </c>
      <c r="D241" s="17" t="s">
        <v>277</v>
      </c>
      <c r="E241" s="48">
        <v>18</v>
      </c>
      <c r="F241" s="17" t="s">
        <v>384</v>
      </c>
      <c r="G241" s="17"/>
      <c r="H241" s="27" t="s">
        <v>297</v>
      </c>
    </row>
    <row r="242" spans="1:8" x14ac:dyDescent="0.2">
      <c r="A242" s="64" t="s">
        <v>298</v>
      </c>
      <c r="B242" s="257" cm="1">
        <f t="array" aca="1" ref="B242" ca="1">IF(ISBLANK(INDIRECT(MID(_xlfn.FORMULATEXT(C242),2,LEN(_xlfn.FORMULATEXT(C242))-1)))=TRUE,"",C242)</f>
        <v>1009</v>
      </c>
      <c r="C242" s="258">
        <f>'CDS-C'!D20</f>
        <v>1009</v>
      </c>
      <c r="D242" s="17" t="s">
        <v>277</v>
      </c>
      <c r="E242" s="48">
        <v>19</v>
      </c>
      <c r="F242" s="17" t="s">
        <v>384</v>
      </c>
      <c r="G242" s="17"/>
      <c r="H242" s="27" t="s">
        <v>299</v>
      </c>
    </row>
    <row r="243" spans="1:8" x14ac:dyDescent="0.2">
      <c r="A243" s="44" t="s">
        <v>300</v>
      </c>
      <c r="B243" s="257" cm="1">
        <f t="array" aca="1" ref="B243" ca="1">IF(ISBLANK(INDIRECT(MID(_xlfn.FORMULATEXT(C243),2,LEN(_xlfn.FORMULATEXT(C243))-1)))=TRUE,"",C243)</f>
        <v>2867</v>
      </c>
      <c r="C243" s="258">
        <f>'CDS-C'!E21</f>
        <v>2867</v>
      </c>
      <c r="D243" s="17" t="s">
        <v>277</v>
      </c>
      <c r="E243" s="48">
        <v>20</v>
      </c>
      <c r="F243" s="17" t="s">
        <v>384</v>
      </c>
      <c r="G243" s="17"/>
      <c r="H243" t="s">
        <v>301</v>
      </c>
    </row>
    <row r="244" spans="1:8" x14ac:dyDescent="0.2">
      <c r="A244" s="44" t="s">
        <v>302</v>
      </c>
      <c r="B244" s="257" cm="1">
        <f t="array" aca="1" ref="B244" ca="1">IF(ISBLANK(INDIRECT(MID(_xlfn.FORMULATEXT(C244),2,LEN(_xlfn.FORMULATEXT(C244))-1)))=TRUE,"",C244)</f>
        <v>930</v>
      </c>
      <c r="C244" s="258">
        <f>'CDS-C'!B21</f>
        <v>930</v>
      </c>
      <c r="D244" s="17" t="s">
        <v>277</v>
      </c>
      <c r="E244" s="48">
        <v>21</v>
      </c>
      <c r="F244" s="17" t="s">
        <v>384</v>
      </c>
      <c r="G244" s="17"/>
      <c r="H244" s="27" t="s">
        <v>303</v>
      </c>
    </row>
    <row r="245" spans="1:8" x14ac:dyDescent="0.2">
      <c r="A245" s="44" t="s">
        <v>304</v>
      </c>
      <c r="B245" s="257" cm="1">
        <f t="array" aca="1" ref="B245" ca="1">IF(ISBLANK(INDIRECT(MID(_xlfn.FORMULATEXT(C245),2,LEN(_xlfn.FORMULATEXT(C245))-1)))=TRUE,"",C245)</f>
        <v>1778</v>
      </c>
      <c r="C245" s="258">
        <f>'CDS-C'!C21</f>
        <v>1778</v>
      </c>
      <c r="D245" s="17" t="s">
        <v>277</v>
      </c>
      <c r="E245" s="48">
        <v>22</v>
      </c>
      <c r="F245" s="17" t="s">
        <v>384</v>
      </c>
      <c r="G245" s="17"/>
      <c r="H245" s="27" t="s">
        <v>305</v>
      </c>
    </row>
    <row r="246" spans="1:8" x14ac:dyDescent="0.2">
      <c r="A246" s="44" t="s">
        <v>306</v>
      </c>
      <c r="B246" s="257" cm="1">
        <f t="array" aca="1" ref="B246" ca="1">IF(ISBLANK(INDIRECT(MID(_xlfn.FORMULATEXT(C246),2,LEN(_xlfn.FORMULATEXT(C246))-1)))=TRUE,"",C246)</f>
        <v>159</v>
      </c>
      <c r="C246" s="258">
        <f>'CDS-C'!D21</f>
        <v>159</v>
      </c>
      <c r="D246" s="17" t="s">
        <v>277</v>
      </c>
      <c r="E246" s="48">
        <v>23</v>
      </c>
      <c r="F246" s="17" t="s">
        <v>384</v>
      </c>
      <c r="G246" s="17"/>
      <c r="H246" s="27" t="s">
        <v>307</v>
      </c>
    </row>
    <row r="247" spans="1:8" x14ac:dyDescent="0.2">
      <c r="A247" s="64" t="s">
        <v>308</v>
      </c>
      <c r="B247" s="257" cm="1">
        <f t="array" aca="1" ref="B247" ca="1">IF(ISBLANK(INDIRECT(MID(_xlfn.FORMULATEXT(C247),2,LEN(_xlfn.FORMULATEXT(C247))-1)))=TRUE,"",C247)</f>
        <v>278</v>
      </c>
      <c r="C247" s="258">
        <f>'CDS-C'!E22</f>
        <v>278</v>
      </c>
      <c r="D247" s="17" t="s">
        <v>277</v>
      </c>
      <c r="E247" s="48">
        <v>24</v>
      </c>
      <c r="F247" s="17" t="s">
        <v>384</v>
      </c>
      <c r="G247" s="17"/>
      <c r="H247" t="s">
        <v>309</v>
      </c>
    </row>
    <row r="248" spans="1:8" x14ac:dyDescent="0.2">
      <c r="A248" s="44" t="s">
        <v>310</v>
      </c>
      <c r="B248" s="257" cm="1">
        <f t="array" aca="1" ref="B248" ca="1">IF(ISBLANK(INDIRECT(MID(_xlfn.FORMULATEXT(C248),2,LEN(_xlfn.FORMULATEXT(C248))-1)))=TRUE,"",C248)</f>
        <v>146</v>
      </c>
      <c r="C248" s="258">
        <f>'CDS-C'!B22</f>
        <v>146</v>
      </c>
      <c r="D248" s="17" t="s">
        <v>277</v>
      </c>
      <c r="E248" s="48">
        <v>25</v>
      </c>
      <c r="F248" s="17" t="s">
        <v>384</v>
      </c>
      <c r="G248" s="17"/>
      <c r="H248" s="27" t="s">
        <v>311</v>
      </c>
    </row>
    <row r="249" spans="1:8" x14ac:dyDescent="0.2">
      <c r="A249" s="44" t="s">
        <v>312</v>
      </c>
      <c r="B249" s="257" cm="1">
        <f t="array" aca="1" ref="B249" ca="1">IF(ISBLANK(INDIRECT(MID(_xlfn.FORMULATEXT(C249),2,LEN(_xlfn.FORMULATEXT(C249))-1)))=TRUE,"",C249)</f>
        <v>124</v>
      </c>
      <c r="C249" s="258">
        <f>'CDS-C'!C22</f>
        <v>124</v>
      </c>
      <c r="D249" s="17" t="s">
        <v>277</v>
      </c>
      <c r="E249" s="48">
        <v>26</v>
      </c>
      <c r="F249" s="17" t="s">
        <v>384</v>
      </c>
      <c r="G249" s="17"/>
      <c r="H249" s="27" t="s">
        <v>313</v>
      </c>
    </row>
    <row r="250" spans="1:8" x14ac:dyDescent="0.2">
      <c r="A250" s="44" t="s">
        <v>314</v>
      </c>
      <c r="B250" s="257" cm="1">
        <f t="array" aca="1" ref="B250" ca="1">IF(ISBLANK(INDIRECT(MID(_xlfn.FORMULATEXT(C250),2,LEN(_xlfn.FORMULATEXT(C250))-1)))=TRUE,"",C250)</f>
        <v>8</v>
      </c>
      <c r="C250" s="258">
        <f>'CDS-C'!D22</f>
        <v>8</v>
      </c>
      <c r="D250" s="17" t="s">
        <v>277</v>
      </c>
      <c r="E250" s="48">
        <v>27</v>
      </c>
      <c r="F250" s="17" t="s">
        <v>384</v>
      </c>
      <c r="G250" s="17"/>
      <c r="H250" s="27" t="s">
        <v>315</v>
      </c>
    </row>
    <row r="251" spans="1:8" x14ac:dyDescent="0.2">
      <c r="A251" s="44" t="s">
        <v>2316</v>
      </c>
      <c r="B251" s="257" cm="1">
        <f t="array" aca="1" ref="B251" ca="1">IF(ISBLANK(INDIRECT(MID(_xlfn.FORMULATEXT(C251),2,LEN(_xlfn.FORMULATEXT(C251))-1)))=TRUE,"",C251)</f>
        <v>109</v>
      </c>
      <c r="C251" s="258">
        <f>'CDS-C'!B336</f>
        <v>109</v>
      </c>
      <c r="D251" s="17" t="s">
        <v>277</v>
      </c>
      <c r="E251" s="48">
        <v>28</v>
      </c>
      <c r="F251" s="17" t="s">
        <v>384</v>
      </c>
      <c r="G251" s="17"/>
    </row>
    <row r="252" spans="1:8" x14ac:dyDescent="0.2">
      <c r="A252" s="44" t="s">
        <v>2317</v>
      </c>
      <c r="B252" s="257" cm="1">
        <f t="array" aca="1" ref="B252" ca="1">IF(ISBLANK(INDIRECT(MID(_xlfn.FORMULATEXT(C252),2,LEN(_xlfn.FORMULATEXT(C252))-1)))=TRUE,"",C252)</f>
        <v>30</v>
      </c>
      <c r="C252" s="258">
        <f>'CDS-C'!B337</f>
        <v>30</v>
      </c>
      <c r="D252" s="17" t="s">
        <v>277</v>
      </c>
      <c r="E252" s="48">
        <v>29</v>
      </c>
      <c r="F252" s="17" t="s">
        <v>384</v>
      </c>
      <c r="G252" s="17"/>
    </row>
    <row r="253" spans="1:8" ht="17" x14ac:dyDescent="0.2">
      <c r="A253" s="64" t="s">
        <v>316</v>
      </c>
      <c r="B253" s="257" t="str" cm="1">
        <f t="array" aca="1" ref="B253" ca="1">IF(ISBLANK(INDIRECT(MID(_xlfn.FORMULATEXT(C253),2,LEN(_xlfn.FORMULATEXT(C253))-1)))=TRUE,"",C253)</f>
        <v>Yes</v>
      </c>
      <c r="C253" s="65" t="str">
        <f>'CDS-C'!B28</f>
        <v>Yes</v>
      </c>
      <c r="D253" s="17" t="s">
        <v>277</v>
      </c>
      <c r="E253" s="48">
        <v>30</v>
      </c>
      <c r="F253" s="17" t="s">
        <v>21</v>
      </c>
      <c r="G253" s="17"/>
    </row>
    <row r="254" spans="1:8" ht="17" x14ac:dyDescent="0.2">
      <c r="A254" s="64" t="s">
        <v>317</v>
      </c>
      <c r="B254" s="257" t="str" cm="1">
        <f t="array" aca="1" ref="B254" ca="1">IF(ISBLANK(INDIRECT(MID(_xlfn.FORMULATEXT(C254),2,LEN(_xlfn.FORMULATEXT(C254))-1)))=TRUE,"",C254)</f>
        <v/>
      </c>
      <c r="C254" s="258">
        <f>'CDS-C'!B32</f>
        <v>0</v>
      </c>
      <c r="D254" s="17" t="s">
        <v>277</v>
      </c>
      <c r="E254" s="48">
        <v>31</v>
      </c>
      <c r="F254" s="17" t="s">
        <v>384</v>
      </c>
      <c r="G254" s="17"/>
      <c r="H254" s="27"/>
    </row>
    <row r="255" spans="1:8" ht="17" x14ac:dyDescent="0.2">
      <c r="A255" s="64" t="s">
        <v>318</v>
      </c>
      <c r="B255" s="257" t="str" cm="1">
        <f t="array" aca="1" ref="B255" ca="1">IF(ISBLANK(INDIRECT(MID(_xlfn.FORMULATEXT(C255),2,LEN(_xlfn.FORMULATEXT(C255))-1)))=TRUE,"",C255)</f>
        <v/>
      </c>
      <c r="C255" s="258">
        <f>'CDS-C'!B33</f>
        <v>0</v>
      </c>
      <c r="D255" s="17" t="s">
        <v>277</v>
      </c>
      <c r="E255" s="48">
        <v>32</v>
      </c>
      <c r="F255" s="17" t="s">
        <v>384</v>
      </c>
      <c r="G255" s="17"/>
      <c r="H255" s="27"/>
    </row>
    <row r="256" spans="1:8" ht="17" x14ac:dyDescent="0.2">
      <c r="A256" s="64" t="s">
        <v>319</v>
      </c>
      <c r="B256" s="257" t="str" cm="1">
        <f t="array" aca="1" ref="B256" ca="1">IF(ISBLANK(INDIRECT(MID(_xlfn.FORMULATEXT(C256),2,LEN(_xlfn.FORMULATEXT(C256))-1)))=TRUE,"",C256)</f>
        <v/>
      </c>
      <c r="C256" s="258">
        <f>'CDS-C'!B34</f>
        <v>0</v>
      </c>
      <c r="D256" s="17" t="s">
        <v>277</v>
      </c>
      <c r="E256" s="48">
        <v>33</v>
      </c>
      <c r="F256" s="17" t="s">
        <v>384</v>
      </c>
      <c r="G256" s="17"/>
      <c r="H256" s="27"/>
    </row>
    <row r="257" spans="1:8" ht="17" x14ac:dyDescent="0.2">
      <c r="A257" s="64" t="s">
        <v>320</v>
      </c>
      <c r="B257" s="257" t="str" cm="1">
        <f t="array" aca="1" ref="B257" ca="1">IF(ISBLANK(INDIRECT(MID(_xlfn.FORMULATEXT(C257),2,LEN(_xlfn.FORMULATEXT(C257))-1)))=TRUE,"",C257)</f>
        <v>No</v>
      </c>
      <c r="C257" s="65" t="str">
        <f>'CDS-C'!B36</f>
        <v>No</v>
      </c>
      <c r="D257" s="17" t="s">
        <v>277</v>
      </c>
      <c r="E257" s="48">
        <v>34</v>
      </c>
      <c r="F257" s="17" t="s">
        <v>21</v>
      </c>
      <c r="G257" s="17"/>
      <c r="H257" s="27"/>
    </row>
    <row r="258" spans="1:8" ht="17" x14ac:dyDescent="0.2">
      <c r="A258" s="64" t="s">
        <v>321</v>
      </c>
      <c r="B258" s="257" t="str" cm="1">
        <f t="array" aca="1" ref="B258" ca="1">IF(ISBLANK(INDIRECT(MID(_xlfn.FORMULATEXT(C258),2,LEN(_xlfn.FORMULATEXT(C258))-1)))=TRUE,"",C258)</f>
        <v/>
      </c>
      <c r="C258" s="65">
        <f>'CDS-C'!B37</f>
        <v>0</v>
      </c>
      <c r="D258" s="17" t="s">
        <v>277</v>
      </c>
      <c r="E258" s="48">
        <v>35</v>
      </c>
      <c r="F258" s="17" t="s">
        <v>21</v>
      </c>
      <c r="G258" s="17"/>
      <c r="H258" s="27"/>
    </row>
    <row r="259" spans="1:8" ht="17" x14ac:dyDescent="0.2">
      <c r="A259" s="64" t="s">
        <v>322</v>
      </c>
      <c r="B259" s="257" t="str" cm="1">
        <f t="array" aca="1" ref="B259" ca="1">IF(ISBLANK(INDIRECT(MID(_xlfn.FORMULATEXT(C259),2,LEN(_xlfn.FORMULATEXT(C259))-1)))=TRUE,"",C259)</f>
        <v/>
      </c>
      <c r="C259" s="65">
        <f>'CDS-C'!B38</f>
        <v>0</v>
      </c>
      <c r="D259" s="17" t="s">
        <v>277</v>
      </c>
      <c r="E259" s="48">
        <v>36</v>
      </c>
      <c r="F259" s="17" t="s">
        <v>21</v>
      </c>
      <c r="G259" s="17"/>
      <c r="H259" s="27"/>
    </row>
    <row r="260" spans="1:8" ht="17" x14ac:dyDescent="0.2">
      <c r="A260" s="64" t="s">
        <v>323</v>
      </c>
      <c r="B260" s="257" t="str" cm="1">
        <f t="array" aca="1" ref="B260" ca="1">IF(ISBLANK(INDIRECT(MID(_xlfn.FORMULATEXT(C260),2,LEN(_xlfn.FORMULATEXT(C260))-1)))=TRUE,"",C260)</f>
        <v>High school diploma is required and GED is accepted</v>
      </c>
      <c r="C260" s="65" t="str">
        <f>'CDS-C'!A45</f>
        <v>High school diploma is required and GED is accepted</v>
      </c>
      <c r="D260" s="17" t="s">
        <v>277</v>
      </c>
      <c r="E260" s="48">
        <v>37</v>
      </c>
      <c r="F260" s="17" t="s">
        <v>21</v>
      </c>
      <c r="G260" s="17"/>
      <c r="H260" s="27"/>
    </row>
    <row r="261" spans="1:8" ht="17" x14ac:dyDescent="0.2">
      <c r="A261" s="64" t="s">
        <v>324</v>
      </c>
      <c r="B261" s="257" t="str" cm="1">
        <f t="array" aca="1" ref="B261" ca="1">IF(ISBLANK(INDIRECT(MID(_xlfn.FORMULATEXT(C261),2,LEN(_xlfn.FORMULATEXT(C261))-1)))=TRUE,"",C261)</f>
        <v>Require</v>
      </c>
      <c r="C261" s="65" t="str">
        <f>'CDS-C'!A53</f>
        <v>Require</v>
      </c>
      <c r="D261" s="17" t="s">
        <v>277</v>
      </c>
      <c r="E261" s="48">
        <v>38</v>
      </c>
      <c r="F261" s="17" t="s">
        <v>21</v>
      </c>
      <c r="G261" s="17"/>
      <c r="H261" s="27"/>
    </row>
    <row r="262" spans="1:8" x14ac:dyDescent="0.2">
      <c r="A262" s="64" t="s">
        <v>325</v>
      </c>
      <c r="B262" s="257" cm="1">
        <f t="array" aca="1" ref="B262" ca="1">IF(ISBLANK(INDIRECT(MID(_xlfn.FORMULATEXT(C262),2,LEN(_xlfn.FORMULATEXT(C262))-1)))=TRUE,"",C262)</f>
        <v>16</v>
      </c>
      <c r="C262" s="258">
        <f>'CDS-C'!B59</f>
        <v>16</v>
      </c>
      <c r="D262" s="17" t="s">
        <v>277</v>
      </c>
      <c r="E262" s="48">
        <v>39</v>
      </c>
      <c r="F262" s="17" t="s">
        <v>384</v>
      </c>
      <c r="G262" s="17"/>
      <c r="H262" s="27"/>
    </row>
    <row r="263" spans="1:8" ht="17" x14ac:dyDescent="0.2">
      <c r="A263" s="64" t="s">
        <v>326</v>
      </c>
      <c r="B263" s="257" t="str" cm="1">
        <f t="array" aca="1" ref="B263" ca="1">IF(ISBLANK(INDIRECT(MID(_xlfn.FORMULATEXT(C263),2,LEN(_xlfn.FORMULATEXT(C263))-1)))=TRUE,"",C263)</f>
        <v/>
      </c>
      <c r="C263" s="258">
        <f>'CDS-C'!C59</f>
        <v>0</v>
      </c>
      <c r="D263" s="17" t="s">
        <v>277</v>
      </c>
      <c r="E263" s="48">
        <v>40</v>
      </c>
      <c r="F263" s="17" t="s">
        <v>384</v>
      </c>
      <c r="G263" s="17"/>
      <c r="H263" s="27"/>
    </row>
    <row r="264" spans="1:8" x14ac:dyDescent="0.2">
      <c r="A264" s="64" t="s">
        <v>327</v>
      </c>
      <c r="B264" s="257" cm="1">
        <f t="array" aca="1" ref="B264" ca="1">IF(ISBLANK(INDIRECT(MID(_xlfn.FORMULATEXT(C264),2,LEN(_xlfn.FORMULATEXT(C264))-1)))=TRUE,"",C264)</f>
        <v>4</v>
      </c>
      <c r="C264" s="258">
        <f>'CDS-C'!B60</f>
        <v>4</v>
      </c>
      <c r="D264" s="17" t="s">
        <v>277</v>
      </c>
      <c r="E264" s="48">
        <v>41</v>
      </c>
      <c r="F264" s="17" t="s">
        <v>384</v>
      </c>
      <c r="G264" s="17"/>
      <c r="H264" s="27"/>
    </row>
    <row r="265" spans="1:8" ht="17" x14ac:dyDescent="0.2">
      <c r="A265" s="64" t="s">
        <v>328</v>
      </c>
      <c r="B265" s="257" t="str" cm="1">
        <f t="array" aca="1" ref="B265" ca="1">IF(ISBLANK(INDIRECT(MID(_xlfn.FORMULATEXT(C265),2,LEN(_xlfn.FORMULATEXT(C265))-1)))=TRUE,"",C265)</f>
        <v/>
      </c>
      <c r="C265" s="258">
        <f>'CDS-C'!C60</f>
        <v>0</v>
      </c>
      <c r="D265" s="17" t="s">
        <v>277</v>
      </c>
      <c r="E265" s="48">
        <v>42</v>
      </c>
      <c r="F265" s="17" t="s">
        <v>384</v>
      </c>
      <c r="G265" s="17"/>
      <c r="H265" s="27"/>
    </row>
    <row r="266" spans="1:8" x14ac:dyDescent="0.2">
      <c r="A266" s="64" t="s">
        <v>329</v>
      </c>
      <c r="B266" s="257" cm="1">
        <f t="array" aca="1" ref="B266" ca="1">IF(ISBLANK(INDIRECT(MID(_xlfn.FORMULATEXT(C266),2,LEN(_xlfn.FORMULATEXT(C266))-1)))=TRUE,"",C266)</f>
        <v>3</v>
      </c>
      <c r="C266" s="258">
        <f>'CDS-C'!B61</f>
        <v>3</v>
      </c>
      <c r="D266" s="17" t="s">
        <v>277</v>
      </c>
      <c r="E266" s="48">
        <v>43</v>
      </c>
      <c r="F266" s="17" t="s">
        <v>384</v>
      </c>
      <c r="G266" s="17"/>
      <c r="H266" s="27"/>
    </row>
    <row r="267" spans="1:8" ht="17" x14ac:dyDescent="0.2">
      <c r="A267" s="64" t="s">
        <v>330</v>
      </c>
      <c r="B267" s="257" t="str" cm="1">
        <f t="array" aca="1" ref="B267" ca="1">IF(ISBLANK(INDIRECT(MID(_xlfn.FORMULATEXT(C267),2,LEN(_xlfn.FORMULATEXT(C267))-1)))=TRUE,"",C267)</f>
        <v/>
      </c>
      <c r="C267" s="258">
        <f>'CDS-C'!C61</f>
        <v>0</v>
      </c>
      <c r="D267" s="17" t="s">
        <v>277</v>
      </c>
      <c r="E267" s="48">
        <v>44</v>
      </c>
      <c r="F267" s="17" t="s">
        <v>384</v>
      </c>
      <c r="G267" s="17"/>
      <c r="H267" s="27"/>
    </row>
    <row r="268" spans="1:8" x14ac:dyDescent="0.2">
      <c r="A268" s="64" t="s">
        <v>331</v>
      </c>
      <c r="B268" s="257" cm="1">
        <f t="array" aca="1" ref="B268" ca="1">IF(ISBLANK(INDIRECT(MID(_xlfn.FORMULATEXT(C268),2,LEN(_xlfn.FORMULATEXT(C268))-1)))=TRUE,"",C268)</f>
        <v>3</v>
      </c>
      <c r="C268" s="258">
        <f>'CDS-C'!B62</f>
        <v>3</v>
      </c>
      <c r="D268" s="17" t="s">
        <v>277</v>
      </c>
      <c r="E268" s="48">
        <v>45</v>
      </c>
      <c r="F268" s="17" t="s">
        <v>384</v>
      </c>
      <c r="G268" s="17"/>
      <c r="H268" s="27"/>
    </row>
    <row r="269" spans="1:8" ht="17" x14ac:dyDescent="0.2">
      <c r="A269" s="64" t="s">
        <v>332</v>
      </c>
      <c r="B269" s="257" t="str" cm="1">
        <f t="array" aca="1" ref="B269" ca="1">IF(ISBLANK(INDIRECT(MID(_xlfn.FORMULATEXT(C269),2,LEN(_xlfn.FORMULATEXT(C269))-1)))=TRUE,"",C269)</f>
        <v/>
      </c>
      <c r="C269" s="258">
        <f>'CDS-C'!C62</f>
        <v>0</v>
      </c>
      <c r="D269" s="17" t="s">
        <v>277</v>
      </c>
      <c r="E269" s="48">
        <v>46</v>
      </c>
      <c r="F269" s="17" t="s">
        <v>384</v>
      </c>
      <c r="G269" s="17"/>
      <c r="H269" s="27"/>
    </row>
    <row r="270" spans="1:8" x14ac:dyDescent="0.2">
      <c r="A270" s="64" t="s">
        <v>333</v>
      </c>
      <c r="B270" s="257" cm="1">
        <f t="array" aca="1" ref="B270" ca="1">IF(ISBLANK(INDIRECT(MID(_xlfn.FORMULATEXT(C270),2,LEN(_xlfn.FORMULATEXT(C270))-1)))=TRUE,"",C270)</f>
        <v>0</v>
      </c>
      <c r="C270" s="258">
        <f>'CDS-C'!B63</f>
        <v>0</v>
      </c>
      <c r="D270" s="17" t="s">
        <v>277</v>
      </c>
      <c r="E270" s="48">
        <v>47</v>
      </c>
      <c r="F270" s="17" t="s">
        <v>384</v>
      </c>
      <c r="G270" s="17"/>
      <c r="H270" s="27"/>
    </row>
    <row r="271" spans="1:8" ht="17" x14ac:dyDescent="0.2">
      <c r="A271" s="64" t="s">
        <v>334</v>
      </c>
      <c r="B271" s="257" t="str" cm="1">
        <f t="array" aca="1" ref="B271" ca="1">IF(ISBLANK(INDIRECT(MID(_xlfn.FORMULATEXT(C271),2,LEN(_xlfn.FORMULATEXT(C271))-1)))=TRUE,"",C271)</f>
        <v/>
      </c>
      <c r="C271" s="258">
        <f>'CDS-C'!C63</f>
        <v>0</v>
      </c>
      <c r="D271" s="17" t="s">
        <v>277</v>
      </c>
      <c r="E271" s="48">
        <v>48</v>
      </c>
      <c r="F271" s="17" t="s">
        <v>384</v>
      </c>
      <c r="G271" s="17"/>
      <c r="H271" s="27"/>
    </row>
    <row r="272" spans="1:8" x14ac:dyDescent="0.2">
      <c r="A272" s="64" t="s">
        <v>335</v>
      </c>
      <c r="B272" s="257" cm="1">
        <f t="array" aca="1" ref="B272" ca="1">IF(ISBLANK(INDIRECT(MID(_xlfn.FORMULATEXT(C272),2,LEN(_xlfn.FORMULATEXT(C272))-1)))=TRUE,"",C272)</f>
        <v>2</v>
      </c>
      <c r="C272" s="258">
        <f>'CDS-C'!B64</f>
        <v>2</v>
      </c>
      <c r="D272" s="17" t="s">
        <v>277</v>
      </c>
      <c r="E272" s="48">
        <v>49</v>
      </c>
      <c r="F272" s="17" t="s">
        <v>384</v>
      </c>
      <c r="G272" s="17"/>
      <c r="H272" s="27"/>
    </row>
    <row r="273" spans="1:8" ht="17" x14ac:dyDescent="0.2">
      <c r="A273" s="64" t="s">
        <v>336</v>
      </c>
      <c r="B273" s="257" t="str" cm="1">
        <f t="array" aca="1" ref="B273" ca="1">IF(ISBLANK(INDIRECT(MID(_xlfn.FORMULATEXT(C273),2,LEN(_xlfn.FORMULATEXT(C273))-1)))=TRUE,"",C273)</f>
        <v/>
      </c>
      <c r="C273" s="258">
        <f>'CDS-C'!C64</f>
        <v>0</v>
      </c>
      <c r="D273" s="17" t="s">
        <v>277</v>
      </c>
      <c r="E273" s="48">
        <v>50</v>
      </c>
      <c r="F273" s="17" t="s">
        <v>384</v>
      </c>
      <c r="G273" s="17"/>
      <c r="H273" s="27"/>
    </row>
    <row r="274" spans="1:8" x14ac:dyDescent="0.2">
      <c r="A274" s="64" t="s">
        <v>337</v>
      </c>
      <c r="B274" s="257" cm="1">
        <f t="array" aca="1" ref="B274" ca="1">IF(ISBLANK(INDIRECT(MID(_xlfn.FORMULATEXT(C274),2,LEN(_xlfn.FORMULATEXT(C274))-1)))=TRUE,"",C274)</f>
        <v>3</v>
      </c>
      <c r="C274" s="258">
        <f>'CDS-C'!B65</f>
        <v>3</v>
      </c>
      <c r="D274" s="17" t="s">
        <v>277</v>
      </c>
      <c r="E274" s="48">
        <v>51</v>
      </c>
      <c r="F274" s="17" t="s">
        <v>384</v>
      </c>
      <c r="G274" s="17"/>
      <c r="H274" s="27"/>
    </row>
    <row r="275" spans="1:8" ht="17" x14ac:dyDescent="0.2">
      <c r="A275" s="64" t="s">
        <v>338</v>
      </c>
      <c r="B275" s="257" t="str" cm="1">
        <f t="array" aca="1" ref="B275" ca="1">IF(ISBLANK(INDIRECT(MID(_xlfn.FORMULATEXT(C275),2,LEN(_xlfn.FORMULATEXT(C275))-1)))=TRUE,"",C275)</f>
        <v/>
      </c>
      <c r="C275" s="258">
        <f>'CDS-C'!C65</f>
        <v>0</v>
      </c>
      <c r="D275" s="17" t="s">
        <v>277</v>
      </c>
      <c r="E275" s="48">
        <v>52</v>
      </c>
      <c r="F275" s="17" t="s">
        <v>384</v>
      </c>
      <c r="G275" s="17"/>
      <c r="H275" s="27"/>
    </row>
    <row r="276" spans="1:8" x14ac:dyDescent="0.2">
      <c r="A276" s="64" t="s">
        <v>339</v>
      </c>
      <c r="B276" s="257" cm="1">
        <f t="array" aca="1" ref="B276" ca="1">IF(ISBLANK(INDIRECT(MID(_xlfn.FORMULATEXT(C276),2,LEN(_xlfn.FORMULATEXT(C276))-1)))=TRUE,"",C276)</f>
        <v>0</v>
      </c>
      <c r="C276" s="258">
        <f>'CDS-C'!B66</f>
        <v>0</v>
      </c>
      <c r="D276" s="17" t="s">
        <v>277</v>
      </c>
      <c r="E276" s="48">
        <v>53</v>
      </c>
      <c r="F276" s="17" t="s">
        <v>384</v>
      </c>
      <c r="G276" s="17"/>
      <c r="H276" s="27"/>
    </row>
    <row r="277" spans="1:8" ht="17" x14ac:dyDescent="0.2">
      <c r="A277" s="64" t="s">
        <v>340</v>
      </c>
      <c r="B277" s="257" t="str" cm="1">
        <f t="array" aca="1" ref="B277" ca="1">IF(ISBLANK(INDIRECT(MID(_xlfn.FORMULATEXT(C277),2,LEN(_xlfn.FORMULATEXT(C277))-1)))=TRUE,"",C277)</f>
        <v/>
      </c>
      <c r="C277" s="258">
        <f>'CDS-C'!C66</f>
        <v>0</v>
      </c>
      <c r="D277" s="17" t="s">
        <v>277</v>
      </c>
      <c r="E277" s="48">
        <v>54</v>
      </c>
      <c r="F277" s="17" t="s">
        <v>384</v>
      </c>
      <c r="G277" s="17"/>
      <c r="H277" s="27"/>
    </row>
    <row r="278" spans="1:8" x14ac:dyDescent="0.2">
      <c r="A278" s="64" t="s">
        <v>341</v>
      </c>
      <c r="B278" s="257" cm="1">
        <f t="array" aca="1" ref="B278" ca="1">IF(ISBLANK(INDIRECT(MID(_xlfn.FORMULATEXT(C278),2,LEN(_xlfn.FORMULATEXT(C278))-1)))=TRUE,"",C278)</f>
        <v>0</v>
      </c>
      <c r="C278" s="258">
        <f>'CDS-C'!B67</f>
        <v>0</v>
      </c>
      <c r="D278" s="17" t="s">
        <v>277</v>
      </c>
      <c r="E278" s="48">
        <v>55</v>
      </c>
      <c r="F278" s="17" t="s">
        <v>384</v>
      </c>
      <c r="G278" s="17"/>
      <c r="H278" s="27"/>
    </row>
    <row r="279" spans="1:8" ht="17" x14ac:dyDescent="0.2">
      <c r="A279" s="64" t="s">
        <v>342</v>
      </c>
      <c r="B279" s="257" t="str" cm="1">
        <f t="array" aca="1" ref="B279" ca="1">IF(ISBLANK(INDIRECT(MID(_xlfn.FORMULATEXT(C279),2,LEN(_xlfn.FORMULATEXT(C279))-1)))=TRUE,"",C279)</f>
        <v/>
      </c>
      <c r="C279" s="258">
        <f>'CDS-C'!C67</f>
        <v>0</v>
      </c>
      <c r="D279" s="17" t="s">
        <v>277</v>
      </c>
      <c r="E279" s="48">
        <v>56</v>
      </c>
      <c r="F279" s="17" t="s">
        <v>384</v>
      </c>
      <c r="G279" s="17"/>
      <c r="H279" s="27"/>
    </row>
    <row r="280" spans="1:8" x14ac:dyDescent="0.2">
      <c r="A280" s="64" t="s">
        <v>343</v>
      </c>
      <c r="B280" s="257" cm="1">
        <f t="array" aca="1" ref="B280" ca="1">IF(ISBLANK(INDIRECT(MID(_xlfn.FORMULATEXT(C280),2,LEN(_xlfn.FORMULATEXT(C280))-1)))=TRUE,"",C280)</f>
        <v>0</v>
      </c>
      <c r="C280" s="258">
        <f>'CDS-C'!B68</f>
        <v>0</v>
      </c>
      <c r="D280" s="17" t="s">
        <v>277</v>
      </c>
      <c r="E280" s="48">
        <v>57</v>
      </c>
      <c r="F280" s="17" t="s">
        <v>384</v>
      </c>
      <c r="G280" s="17"/>
      <c r="H280" s="27"/>
    </row>
    <row r="281" spans="1:8" ht="17" x14ac:dyDescent="0.2">
      <c r="A281" s="64" t="s">
        <v>344</v>
      </c>
      <c r="B281" s="257" t="str" cm="1">
        <f t="array" aca="1" ref="B281" ca="1">IF(ISBLANK(INDIRECT(MID(_xlfn.FORMULATEXT(C281),2,LEN(_xlfn.FORMULATEXT(C281))-1)))=TRUE,"",C281)</f>
        <v/>
      </c>
      <c r="C281" s="258">
        <f>'CDS-C'!C68</f>
        <v>0</v>
      </c>
      <c r="D281" s="17" t="s">
        <v>277</v>
      </c>
      <c r="E281" s="48">
        <v>58</v>
      </c>
      <c r="F281" s="17" t="s">
        <v>384</v>
      </c>
      <c r="G281" s="17"/>
      <c r="H281" s="27"/>
    </row>
    <row r="282" spans="1:8" x14ac:dyDescent="0.2">
      <c r="A282" s="64" t="s">
        <v>345</v>
      </c>
      <c r="B282" s="257" cm="1">
        <f t="array" aca="1" ref="B282" ca="1">IF(ISBLANK(INDIRECT(MID(_xlfn.FORMULATEXT(C282),2,LEN(_xlfn.FORMULATEXT(C282))-1)))=TRUE,"",C282)</f>
        <v>1</v>
      </c>
      <c r="C282" s="258">
        <f>'CDS-C'!B69</f>
        <v>1</v>
      </c>
      <c r="D282" s="17" t="s">
        <v>277</v>
      </c>
      <c r="E282" s="48">
        <v>59</v>
      </c>
      <c r="F282" s="17" t="s">
        <v>384</v>
      </c>
      <c r="G282" s="17"/>
      <c r="H282" s="27"/>
    </row>
    <row r="283" spans="1:8" ht="17" x14ac:dyDescent="0.2">
      <c r="A283" s="64" t="s">
        <v>346</v>
      </c>
      <c r="B283" s="257" t="str" cm="1">
        <f t="array" aca="1" ref="B283" ca="1">IF(ISBLANK(INDIRECT(MID(_xlfn.FORMULATEXT(C283),2,LEN(_xlfn.FORMULATEXT(C283))-1)))=TRUE,"",C283)</f>
        <v/>
      </c>
      <c r="C283" s="258">
        <f>'CDS-C'!C69</f>
        <v>0</v>
      </c>
      <c r="D283" s="17" t="s">
        <v>277</v>
      </c>
      <c r="E283" s="48">
        <v>60</v>
      </c>
      <c r="F283" s="17" t="s">
        <v>384</v>
      </c>
      <c r="G283" s="17"/>
      <c r="H283" s="27"/>
    </row>
    <row r="284" spans="1:8" ht="35" customHeight="1" x14ac:dyDescent="0.2">
      <c r="A284" s="64" t="s">
        <v>347</v>
      </c>
      <c r="B284" s="257" t="str" cm="1">
        <f t="array" aca="1" ref="B284" ca="1">IF(ISBLANK(INDIRECT(MID(_xlfn.FORMULATEXT(C284),2,LEN(_xlfn.FORMULATEXT(C284))-1)))=TRUE,"",C284)</f>
        <v/>
      </c>
      <c r="C284" s="75">
        <f>'CDS-C'!A72</f>
        <v>0</v>
      </c>
      <c r="D284" s="17" t="s">
        <v>277</v>
      </c>
      <c r="E284" s="48">
        <v>61</v>
      </c>
      <c r="F284" s="16" t="s">
        <v>34</v>
      </c>
      <c r="G284" s="17"/>
      <c r="H284" s="27"/>
    </row>
    <row r="285" spans="1:8" ht="50" customHeight="1" x14ac:dyDescent="0.2">
      <c r="A285" s="64" t="s">
        <v>348</v>
      </c>
      <c r="B285" s="257" t="str" cm="1">
        <f t="array" aca="1" ref="B285" ca="1">IF(ISBLANK(INDIRECT(MID(_xlfn.FORMULATEXT(C285),2,LEN(_xlfn.FORMULATEXT(C285))-1)))=TRUE,"",C285)</f>
        <v/>
      </c>
      <c r="C285" s="75">
        <f>'CDS-C'!A75</f>
        <v>0</v>
      </c>
      <c r="D285" s="17" t="s">
        <v>277</v>
      </c>
      <c r="E285" s="48">
        <v>62</v>
      </c>
      <c r="F285" s="16" t="s">
        <v>34</v>
      </c>
      <c r="G285" s="17"/>
      <c r="H285" s="27"/>
    </row>
    <row r="286" spans="1:8" ht="17" x14ac:dyDescent="0.2">
      <c r="A286" s="64" t="s">
        <v>349</v>
      </c>
      <c r="B286" s="257" t="str" cm="1">
        <f t="array" aca="1" ref="B286" ca="1">IF(ISBLANK(INDIRECT(MID(_xlfn.FORMULATEXT(C286),2,LEN(_xlfn.FORMULATEXT(C286))-1)))=TRUE,"",C286)</f>
        <v/>
      </c>
      <c r="C286" s="65">
        <f>'CDS-C'!A80</f>
        <v>0</v>
      </c>
      <c r="D286" s="17" t="s">
        <v>277</v>
      </c>
      <c r="E286" s="48">
        <v>63</v>
      </c>
      <c r="F286" s="17" t="s">
        <v>21</v>
      </c>
      <c r="G286" s="17"/>
      <c r="H286" s="27"/>
    </row>
    <row r="287" spans="1:8" ht="17" x14ac:dyDescent="0.2">
      <c r="A287" s="64" t="s">
        <v>350</v>
      </c>
      <c r="B287" s="257" t="str" cm="1">
        <f t="array" aca="1" ref="B287" ca="1">IF(ISBLANK(INDIRECT(MID(_xlfn.FORMULATEXT(C287),2,LEN(_xlfn.FORMULATEXT(C287))-1)))=TRUE,"",C287)</f>
        <v/>
      </c>
      <c r="C287" s="75">
        <f>'CDS-C'!A83</f>
        <v>0</v>
      </c>
      <c r="D287" s="17" t="s">
        <v>277</v>
      </c>
      <c r="E287" s="48">
        <v>64</v>
      </c>
      <c r="F287" s="16" t="s">
        <v>34</v>
      </c>
      <c r="G287" s="17"/>
      <c r="H287" s="27"/>
    </row>
    <row r="288" spans="1:8" ht="17" x14ac:dyDescent="0.2">
      <c r="A288" s="64" t="s">
        <v>351</v>
      </c>
      <c r="B288" s="257" t="str" cm="1">
        <f t="array" aca="1" ref="B288" ca="1">IF(ISBLANK(INDIRECT(MID(_xlfn.FORMULATEXT(C288),2,LEN(_xlfn.FORMULATEXT(C288))-1)))=TRUE,"",C288)</f>
        <v>Very Important</v>
      </c>
      <c r="C288" s="65" t="str">
        <f>'CDS-C'!B91</f>
        <v>Very Important</v>
      </c>
      <c r="D288" s="17" t="s">
        <v>277</v>
      </c>
      <c r="E288" s="48">
        <v>65</v>
      </c>
      <c r="F288" s="17" t="s">
        <v>21</v>
      </c>
      <c r="G288" s="17"/>
      <c r="H288" s="27"/>
    </row>
    <row r="289" spans="1:8" ht="17" x14ac:dyDescent="0.2">
      <c r="A289" s="64" t="s">
        <v>352</v>
      </c>
      <c r="B289" s="257" t="str" cm="1">
        <f t="array" aca="1" ref="B289" ca="1">IF(ISBLANK(INDIRECT(MID(_xlfn.FORMULATEXT(C289),2,LEN(_xlfn.FORMULATEXT(C289))-1)))=TRUE,"",C289)</f>
        <v>Considered</v>
      </c>
      <c r="C289" s="65" t="str">
        <f>'CDS-C'!B92</f>
        <v>Considered</v>
      </c>
      <c r="D289" s="17" t="s">
        <v>277</v>
      </c>
      <c r="E289" s="48">
        <v>66</v>
      </c>
      <c r="F289" s="17" t="s">
        <v>21</v>
      </c>
      <c r="G289" s="17"/>
      <c r="H289" s="27"/>
    </row>
    <row r="290" spans="1:8" ht="17" x14ac:dyDescent="0.2">
      <c r="A290" s="64" t="s">
        <v>353</v>
      </c>
      <c r="B290" s="257" t="str" cm="1">
        <f t="array" aca="1" ref="B290" ca="1">IF(ISBLANK(INDIRECT(MID(_xlfn.FORMULATEXT(C290),2,LEN(_xlfn.FORMULATEXT(C290))-1)))=TRUE,"",C290)</f>
        <v>Very Important</v>
      </c>
      <c r="C290" s="65" t="str">
        <f>'CDS-C'!B93</f>
        <v>Very Important</v>
      </c>
      <c r="D290" s="17" t="s">
        <v>277</v>
      </c>
      <c r="E290" s="48">
        <v>67</v>
      </c>
      <c r="F290" s="17" t="s">
        <v>21</v>
      </c>
      <c r="G290" s="17"/>
      <c r="H290" s="27"/>
    </row>
    <row r="291" spans="1:8" ht="17" x14ac:dyDescent="0.2">
      <c r="A291" s="64" t="s">
        <v>354</v>
      </c>
      <c r="B291" s="257" t="str" cm="1">
        <f t="array" aca="1" ref="B291" ca="1">IF(ISBLANK(INDIRECT(MID(_xlfn.FORMULATEXT(C291),2,LEN(_xlfn.FORMULATEXT(C291))-1)))=TRUE,"",C291)</f>
        <v>Important</v>
      </c>
      <c r="C291" s="65" t="str">
        <f>'CDS-C'!B94</f>
        <v>Important</v>
      </c>
      <c r="D291" s="17" t="s">
        <v>277</v>
      </c>
      <c r="E291" s="48">
        <v>68</v>
      </c>
      <c r="F291" s="17" t="s">
        <v>21</v>
      </c>
      <c r="G291" s="17"/>
      <c r="H291" s="27"/>
    </row>
    <row r="292" spans="1:8" ht="17" x14ac:dyDescent="0.2">
      <c r="A292" s="64" t="s">
        <v>355</v>
      </c>
      <c r="B292" s="257" t="str" cm="1">
        <f t="array" aca="1" ref="B292" ca="1">IF(ISBLANK(INDIRECT(MID(_xlfn.FORMULATEXT(C292),2,LEN(_xlfn.FORMULATEXT(C292))-1)))=TRUE,"",C292)</f>
        <v>Considered</v>
      </c>
      <c r="C292" s="65" t="str">
        <f>'CDS-C'!B95</f>
        <v>Considered</v>
      </c>
      <c r="D292" s="17" t="s">
        <v>277</v>
      </c>
      <c r="E292" s="48">
        <v>69</v>
      </c>
      <c r="F292" s="17" t="s">
        <v>21</v>
      </c>
      <c r="G292" s="17"/>
      <c r="H292" s="27"/>
    </row>
    <row r="293" spans="1:8" ht="17" x14ac:dyDescent="0.2">
      <c r="A293" s="64" t="s">
        <v>356</v>
      </c>
      <c r="B293" s="257" t="str" cm="1">
        <f t="array" aca="1" ref="B293" ca="1">IF(ISBLANK(INDIRECT(MID(_xlfn.FORMULATEXT(C293),2,LEN(_xlfn.FORMULATEXT(C293))-1)))=TRUE,"",C293)</f>
        <v>Considered</v>
      </c>
      <c r="C293" s="65" t="str">
        <f>'CDS-C'!B96</f>
        <v>Considered</v>
      </c>
      <c r="D293" s="17" t="s">
        <v>277</v>
      </c>
      <c r="E293" s="48">
        <v>70</v>
      </c>
      <c r="F293" s="17" t="s">
        <v>21</v>
      </c>
      <c r="G293" s="17"/>
      <c r="H293" s="27"/>
    </row>
    <row r="294" spans="1:8" ht="17" x14ac:dyDescent="0.2">
      <c r="A294" s="64" t="s">
        <v>357</v>
      </c>
      <c r="B294" s="257" t="str" cm="1">
        <f t="array" aca="1" ref="B294" ca="1">IF(ISBLANK(INDIRECT(MID(_xlfn.FORMULATEXT(C294),2,LEN(_xlfn.FORMULATEXT(C294))-1)))=TRUE,"",C294)</f>
        <v>Considered</v>
      </c>
      <c r="C294" s="65" t="str">
        <f>'CDS-C'!B98</f>
        <v>Considered</v>
      </c>
      <c r="D294" s="17" t="s">
        <v>277</v>
      </c>
      <c r="E294" s="48">
        <v>71</v>
      </c>
      <c r="F294" s="17" t="s">
        <v>21</v>
      </c>
      <c r="G294" s="17"/>
      <c r="H294" s="27"/>
    </row>
    <row r="295" spans="1:8" ht="17" x14ac:dyDescent="0.2">
      <c r="A295" s="64" t="s">
        <v>358</v>
      </c>
      <c r="B295" s="257" t="str" cm="1">
        <f t="array" aca="1" ref="B295" ca="1">IF(ISBLANK(INDIRECT(MID(_xlfn.FORMULATEXT(C295),2,LEN(_xlfn.FORMULATEXT(C295))-1)))=TRUE,"",C295)</f>
        <v>Important</v>
      </c>
      <c r="C295" s="65" t="str">
        <f>'CDS-C'!B99</f>
        <v>Important</v>
      </c>
      <c r="D295" s="17" t="s">
        <v>277</v>
      </c>
      <c r="E295" s="48">
        <v>72</v>
      </c>
      <c r="F295" s="17" t="s">
        <v>21</v>
      </c>
      <c r="G295" s="17"/>
      <c r="H295" s="27"/>
    </row>
    <row r="296" spans="1:8" ht="17" x14ac:dyDescent="0.2">
      <c r="A296" s="64" t="s">
        <v>359</v>
      </c>
      <c r="B296" s="257" t="str" cm="1">
        <f t="array" aca="1" ref="B296" ca="1">IF(ISBLANK(INDIRECT(MID(_xlfn.FORMULATEXT(C296),2,LEN(_xlfn.FORMULATEXT(C296))-1)))=TRUE,"",C296)</f>
        <v>Considered</v>
      </c>
      <c r="C296" s="65" t="str">
        <f>'CDS-C'!B100</f>
        <v>Considered</v>
      </c>
      <c r="D296" s="17" t="s">
        <v>277</v>
      </c>
      <c r="E296" s="48">
        <v>73</v>
      </c>
      <c r="F296" s="17" t="s">
        <v>21</v>
      </c>
      <c r="G296" s="17"/>
      <c r="H296" s="27"/>
    </row>
    <row r="297" spans="1:8" ht="17" x14ac:dyDescent="0.2">
      <c r="A297" s="64" t="s">
        <v>360</v>
      </c>
      <c r="B297" s="257" t="str" cm="1">
        <f t="array" aca="1" ref="B297" ca="1">IF(ISBLANK(INDIRECT(MID(_xlfn.FORMULATEXT(C297),2,LEN(_xlfn.FORMULATEXT(C297))-1)))=TRUE,"",C297)</f>
        <v>Important</v>
      </c>
      <c r="C297" s="65" t="str">
        <f>'CDS-C'!B101</f>
        <v>Important</v>
      </c>
      <c r="D297" s="17" t="s">
        <v>277</v>
      </c>
      <c r="E297" s="48">
        <v>74</v>
      </c>
      <c r="F297" s="17" t="s">
        <v>21</v>
      </c>
      <c r="G297" s="17"/>
      <c r="H297" s="27"/>
    </row>
    <row r="298" spans="1:8" ht="17" x14ac:dyDescent="0.2">
      <c r="A298" s="64" t="s">
        <v>361</v>
      </c>
      <c r="B298" s="257" t="str" cm="1">
        <f t="array" aca="1" ref="B298" ca="1">IF(ISBLANK(INDIRECT(MID(_xlfn.FORMULATEXT(C298),2,LEN(_xlfn.FORMULATEXT(C298))-1)))=TRUE,"",C298)</f>
        <v>Considered</v>
      </c>
      <c r="C298" s="65" t="str">
        <f>'CDS-C'!B102</f>
        <v>Considered</v>
      </c>
      <c r="D298" s="17" t="s">
        <v>277</v>
      </c>
      <c r="E298" s="48">
        <v>75</v>
      </c>
      <c r="F298" s="17" t="s">
        <v>21</v>
      </c>
      <c r="G298" s="17"/>
      <c r="H298" s="27"/>
    </row>
    <row r="299" spans="1:8" ht="17" x14ac:dyDescent="0.2">
      <c r="A299" s="64" t="s">
        <v>362</v>
      </c>
      <c r="B299" s="257" t="str" cm="1">
        <f t="array" aca="1" ref="B299" ca="1">IF(ISBLANK(INDIRECT(MID(_xlfn.FORMULATEXT(C299),2,LEN(_xlfn.FORMULATEXT(C299))-1)))=TRUE,"",C299)</f>
        <v>Not Considered</v>
      </c>
      <c r="C299" s="65" t="str">
        <f>'CDS-C'!B103</f>
        <v>Not Considered</v>
      </c>
      <c r="D299" s="17" t="s">
        <v>277</v>
      </c>
      <c r="E299" s="48">
        <v>76</v>
      </c>
      <c r="F299" s="17" t="s">
        <v>21</v>
      </c>
      <c r="G299" s="17"/>
      <c r="H299" s="27"/>
    </row>
    <row r="300" spans="1:8" ht="17" x14ac:dyDescent="0.2">
      <c r="A300" s="64" t="s">
        <v>363</v>
      </c>
      <c r="B300" s="257" t="str" cm="1">
        <f t="array" aca="1" ref="B300" ca="1">IF(ISBLANK(INDIRECT(MID(_xlfn.FORMULATEXT(C300),2,LEN(_xlfn.FORMULATEXT(C300))-1)))=TRUE,"",C300)</f>
        <v>Considered</v>
      </c>
      <c r="C300" s="65" t="str">
        <f>'CDS-C'!B104</f>
        <v>Considered</v>
      </c>
      <c r="D300" s="17" t="s">
        <v>277</v>
      </c>
      <c r="E300" s="48">
        <v>77</v>
      </c>
      <c r="F300" s="17" t="s">
        <v>21</v>
      </c>
      <c r="G300" s="17"/>
      <c r="H300" s="27"/>
    </row>
    <row r="301" spans="1:8" ht="17" x14ac:dyDescent="0.2">
      <c r="A301" s="64" t="s">
        <v>364</v>
      </c>
      <c r="B301" s="257" t="str" cm="1">
        <f t="array" aca="1" ref="B301" ca="1">IF(ISBLANK(INDIRECT(MID(_xlfn.FORMULATEXT(C301),2,LEN(_xlfn.FORMULATEXT(C301))-1)))=TRUE,"",C301)</f>
        <v>Not Considered</v>
      </c>
      <c r="C301" s="65" t="str">
        <f>'CDS-C'!B105</f>
        <v>Not Considered</v>
      </c>
      <c r="D301" s="17" t="s">
        <v>277</v>
      </c>
      <c r="E301" s="48">
        <v>78</v>
      </c>
      <c r="F301" s="17" t="s">
        <v>21</v>
      </c>
      <c r="G301" s="17"/>
      <c r="H301" s="27"/>
    </row>
    <row r="302" spans="1:8" ht="17" x14ac:dyDescent="0.2">
      <c r="A302" s="64" t="s">
        <v>365</v>
      </c>
      <c r="B302" s="257" t="str" cm="1">
        <f t="array" aca="1" ref="B302" ca="1">IF(ISBLANK(INDIRECT(MID(_xlfn.FORMULATEXT(C302),2,LEN(_xlfn.FORMULATEXT(C302))-1)))=TRUE,"",C302)</f>
        <v>Not Considered</v>
      </c>
      <c r="C302" s="65" t="str">
        <f>'CDS-C'!B106</f>
        <v>Not Considered</v>
      </c>
      <c r="D302" s="17" t="s">
        <v>277</v>
      </c>
      <c r="E302" s="48">
        <v>79</v>
      </c>
      <c r="F302" s="17" t="s">
        <v>21</v>
      </c>
      <c r="G302" s="17"/>
      <c r="H302" s="27"/>
    </row>
    <row r="303" spans="1:8" ht="17" x14ac:dyDescent="0.2">
      <c r="A303" s="64" t="s">
        <v>366</v>
      </c>
      <c r="B303" s="257" t="str" cm="1">
        <f t="array" aca="1" ref="B303" ca="1">IF(ISBLANK(INDIRECT(MID(_xlfn.FORMULATEXT(C303),2,LEN(_xlfn.FORMULATEXT(C303))-1)))=TRUE,"",C303)</f>
        <v>Considered</v>
      </c>
      <c r="C303" s="65" t="str">
        <f>'CDS-C'!B107</f>
        <v>Considered</v>
      </c>
      <c r="D303" s="17" t="s">
        <v>277</v>
      </c>
      <c r="E303" s="48">
        <v>80</v>
      </c>
      <c r="F303" s="17" t="s">
        <v>21</v>
      </c>
      <c r="G303" s="17"/>
      <c r="H303" s="27"/>
    </row>
    <row r="304" spans="1:8" ht="17" x14ac:dyDescent="0.2">
      <c r="A304" s="64" t="s">
        <v>367</v>
      </c>
      <c r="B304" s="257" t="str" cm="1">
        <f t="array" aca="1" ref="B304" ca="1">IF(ISBLANK(INDIRECT(MID(_xlfn.FORMULATEXT(C304),2,LEN(_xlfn.FORMULATEXT(C304))-1)))=TRUE,"",C304)</f>
        <v>Considered</v>
      </c>
      <c r="C304" s="65" t="str">
        <f>'CDS-C'!B108</f>
        <v>Considered</v>
      </c>
      <c r="D304" s="17" t="s">
        <v>277</v>
      </c>
      <c r="E304" s="48">
        <v>81</v>
      </c>
      <c r="F304" s="17" t="s">
        <v>21</v>
      </c>
      <c r="G304" s="17"/>
      <c r="H304" s="27"/>
    </row>
    <row r="305" spans="1:8" ht="17" x14ac:dyDescent="0.2">
      <c r="A305" s="64" t="s">
        <v>368</v>
      </c>
      <c r="B305" s="257" t="str" cm="1">
        <f t="array" aca="1" ref="B305" ca="1">IF(ISBLANK(INDIRECT(MID(_xlfn.FORMULATEXT(C305),2,LEN(_xlfn.FORMULATEXT(C305))-1)))=TRUE,"",C305)</f>
        <v>Considered</v>
      </c>
      <c r="C305" s="65" t="str">
        <f>'CDS-C'!B109</f>
        <v>Considered</v>
      </c>
      <c r="D305" s="17" t="s">
        <v>277</v>
      </c>
      <c r="E305" s="48">
        <v>82</v>
      </c>
      <c r="F305" s="17" t="s">
        <v>21</v>
      </c>
      <c r="G305" s="17"/>
      <c r="H305" s="27"/>
    </row>
    <row r="306" spans="1:8" ht="17" x14ac:dyDescent="0.2">
      <c r="A306" s="64" t="s">
        <v>369</v>
      </c>
      <c r="B306" s="257" t="str" cm="1">
        <f t="array" aca="1" ref="B306" ca="1">IF(ISBLANK(INDIRECT(MID(_xlfn.FORMULATEXT(C306),2,LEN(_xlfn.FORMULATEXT(C306))-1)))=TRUE,"",C306)</f>
        <v>Yes</v>
      </c>
      <c r="C306" s="65" t="str">
        <f>'CDS-C'!D115</f>
        <v>Yes</v>
      </c>
      <c r="D306" s="17" t="s">
        <v>277</v>
      </c>
      <c r="E306" s="48">
        <v>83</v>
      </c>
      <c r="F306" s="17" t="s">
        <v>21</v>
      </c>
      <c r="G306" s="17"/>
      <c r="H306" s="27"/>
    </row>
    <row r="307" spans="1:8" ht="17" x14ac:dyDescent="0.2">
      <c r="A307" s="64" t="s">
        <v>370</v>
      </c>
      <c r="B307" s="257" t="str" cm="1">
        <f t="array" aca="1" ref="B307" ca="1">IF(ISBLANK(INDIRECT(MID(_xlfn.FORMULATEXT(C307),2,LEN(_xlfn.FORMULATEXT(C307))-1)))=TRUE,"",C307)</f>
        <v>Not required for admission, but considered for some</v>
      </c>
      <c r="C307" s="65" t="str">
        <f>'CDS-C'!A119</f>
        <v>Not required for admission, but considered for some</v>
      </c>
      <c r="D307" s="17" t="s">
        <v>277</v>
      </c>
      <c r="E307" s="48">
        <v>84</v>
      </c>
      <c r="F307" s="17" t="s">
        <v>21</v>
      </c>
      <c r="G307" s="17"/>
      <c r="H307" s="27"/>
    </row>
    <row r="308" spans="1:8" ht="17" x14ac:dyDescent="0.2">
      <c r="A308" s="64" t="s">
        <v>371</v>
      </c>
      <c r="B308" s="257" t="str" cm="1">
        <f t="array" aca="1" ref="B308" ca="1">IF(ISBLANK(INDIRECT(MID(_xlfn.FORMULATEXT(C308),2,LEN(_xlfn.FORMULATEXT(C308))-1)))=TRUE,"",C308)</f>
        <v/>
      </c>
      <c r="C308" s="65">
        <f>'CDS-C'!A121</f>
        <v>0</v>
      </c>
      <c r="D308" s="17" t="s">
        <v>277</v>
      </c>
      <c r="E308" s="48">
        <v>85</v>
      </c>
      <c r="F308" s="17" t="s">
        <v>21</v>
      </c>
      <c r="G308" s="17"/>
      <c r="H308" s="27"/>
    </row>
    <row r="309" spans="1:8" ht="17" x14ac:dyDescent="0.2">
      <c r="A309" s="64" t="s">
        <v>372</v>
      </c>
      <c r="B309" s="257" t="str" cm="1">
        <f t="array" aca="1" ref="B309" ca="1">IF(ISBLANK(INDIRECT(MID(_xlfn.FORMULATEXT(C309),2,LEN(_xlfn.FORMULATEXT(C309))-1)))=TRUE,"",C309)</f>
        <v/>
      </c>
      <c r="C309" s="65">
        <f>'CDS-C'!A123</f>
        <v>0</v>
      </c>
      <c r="D309" s="17" t="s">
        <v>277</v>
      </c>
      <c r="E309" s="48">
        <v>86</v>
      </c>
      <c r="F309" s="17" t="s">
        <v>21</v>
      </c>
      <c r="G309" s="17"/>
      <c r="H309" s="27"/>
    </row>
    <row r="310" spans="1:8" ht="17" x14ac:dyDescent="0.2">
      <c r="A310" s="64" t="s">
        <v>373</v>
      </c>
      <c r="B310" s="257" t="str" cm="1">
        <f t="array" aca="1" ref="B310" ca="1">IF(ISBLANK(INDIRECT(MID(_xlfn.FORMULATEXT(C310),2,LEN(_xlfn.FORMULATEXT(C310))-1)))=TRUE,"",C310)</f>
        <v>No</v>
      </c>
      <c r="C310" s="65" t="str">
        <f>'CDS-C'!B125</f>
        <v>No</v>
      </c>
      <c r="D310" s="17" t="s">
        <v>277</v>
      </c>
      <c r="E310" s="48">
        <v>87</v>
      </c>
      <c r="F310" s="17" t="s">
        <v>21</v>
      </c>
      <c r="G310" s="17"/>
      <c r="H310" s="27"/>
    </row>
    <row r="311" spans="1:8" ht="17" x14ac:dyDescent="0.2">
      <c r="A311" s="64" t="s">
        <v>374</v>
      </c>
      <c r="B311" s="257" t="str" cm="1">
        <f t="array" aca="1" ref="B311" ca="1">IF(ISBLANK(INDIRECT(MID(_xlfn.FORMULATEXT(C311),2,LEN(_xlfn.FORMULATEXT(C311))-1)))=TRUE,"",C311)</f>
        <v>02/15</v>
      </c>
      <c r="C311" s="155" t="str" cm="1">
        <f t="array" aca="1" ref="C311" ca="1">IF(AND(ISNUMBER(CELL("contents",G311)),(G311&gt;0)),TEXT(G311,"MM/DD"),"")</f>
        <v>02/15</v>
      </c>
      <c r="D311" s="17" t="s">
        <v>277</v>
      </c>
      <c r="E311" s="48">
        <v>88</v>
      </c>
      <c r="F311" s="17" t="s">
        <v>375</v>
      </c>
      <c r="G311" s="73">
        <f>'CDS-C'!D127</f>
        <v>45337</v>
      </c>
      <c r="H311" s="27"/>
    </row>
    <row r="312" spans="1:8" ht="85" x14ac:dyDescent="0.2">
      <c r="A312" s="64" t="s">
        <v>376</v>
      </c>
      <c r="B312" s="257" t="str" cm="1">
        <f t="array" aca="1" ref="B312" ca="1">IF(ISBLANK(INDIRECT(MID(_xlfn.FORMULATEXT(C312),2,LEN(_xlfn.FORMULATEXT(C312))-1)))=TRUE,"",C312)</f>
        <v xml:space="preserve">Allegheny College is a standardized test optional college. Standardized test scores will be considered if submitted. Only highest section scores across all SAT test dates submitted will be considered.                
                </v>
      </c>
      <c r="C312" s="75" t="str">
        <f>'CDS-C'!A131</f>
        <v xml:space="preserve">Allegheny College is a standardized test optional college. Standardized test scores will be considered if submitted. Only highest section scores across all SAT test dates submitted will be considered.                
                </v>
      </c>
      <c r="D312" s="17" t="s">
        <v>277</v>
      </c>
      <c r="E312" s="48">
        <v>89</v>
      </c>
      <c r="F312" s="16" t="s">
        <v>34</v>
      </c>
      <c r="G312" s="74"/>
      <c r="H312" s="27"/>
    </row>
    <row r="313" spans="1:8" ht="17" x14ac:dyDescent="0.2">
      <c r="A313" s="64" t="s">
        <v>377</v>
      </c>
      <c r="B313" s="257" t="str" cm="1">
        <f t="array" aca="1" ref="B313" ca="1">IF(ISBLANK(INDIRECT(MID(_xlfn.FORMULATEXT(C313),2,LEN(_xlfn.FORMULATEXT(C313))-1)))=TRUE,"",C313)</f>
        <v>AP|CLEP|Institutional Exam|</v>
      </c>
      <c r="C313" s="65" t="str">
        <f>_xlfn.CONCAT('multi select'!F2:F7)</f>
        <v>AP|CLEP|Institutional Exam|</v>
      </c>
      <c r="D313" s="17" t="s">
        <v>277</v>
      </c>
      <c r="E313" s="48">
        <v>90</v>
      </c>
      <c r="F313" s="17" t="s">
        <v>378</v>
      </c>
      <c r="G313" s="74"/>
      <c r="H313" s="27"/>
    </row>
    <row r="314" spans="1:8" ht="17" x14ac:dyDescent="0.2">
      <c r="A314" s="64" t="s">
        <v>379</v>
      </c>
      <c r="B314" s="257" t="str" cm="1">
        <f t="array" aca="1" ref="B314" ca="1">IF(ISBLANK(INDIRECT(MID(_xlfn.FORMULATEXT(C314),2,LEN(_xlfn.FORMULATEXT(C314))-1)))=TRUE,"",C314)</f>
        <v/>
      </c>
      <c r="C314" s="75">
        <f>'CDS-C'!A143</f>
        <v>0</v>
      </c>
      <c r="D314" s="17" t="s">
        <v>277</v>
      </c>
      <c r="E314" s="48">
        <v>91</v>
      </c>
      <c r="F314" s="16" t="s">
        <v>34</v>
      </c>
      <c r="G314" s="74"/>
      <c r="H314" s="27"/>
    </row>
    <row r="315" spans="1:8" x14ac:dyDescent="0.2">
      <c r="A315" s="64" t="s">
        <v>380</v>
      </c>
      <c r="B315" s="257" cm="1">
        <f t="array" aca="1" ref="B315" ca="1">IF(ISBLANK(INDIRECT(MID(_xlfn.FORMULATEXT(G315),2,LEN(_xlfn.FORMULATEXT(G315))-1)))=TRUE,"",C315)</f>
        <v>13</v>
      </c>
      <c r="C315" s="261">
        <f>ROUND(TRUNC(G315*100, 1), 1)</f>
        <v>13</v>
      </c>
      <c r="D315" s="17" t="s">
        <v>277</v>
      </c>
      <c r="E315" s="48">
        <v>92</v>
      </c>
      <c r="F315" s="17" t="s">
        <v>381</v>
      </c>
      <c r="G315" s="107">
        <f>'CDS-C'!B153</f>
        <v>0.13</v>
      </c>
      <c r="H315" s="27"/>
    </row>
    <row r="316" spans="1:8" x14ac:dyDescent="0.2">
      <c r="A316" s="64" t="s">
        <v>382</v>
      </c>
      <c r="B316" s="257" cm="1">
        <f t="array" aca="1" ref="B316" ca="1">IF(ISBLANK(INDIRECT(MID(_xlfn.FORMULATEXT(G316),2,LEN(_xlfn.FORMULATEXT(G316))-1)))=TRUE,"",C316)</f>
        <v>10</v>
      </c>
      <c r="C316" s="261">
        <f>ROUND(TRUNC(G316*100, 1), 1)</f>
        <v>10</v>
      </c>
      <c r="D316" s="17" t="s">
        <v>277</v>
      </c>
      <c r="E316" s="48">
        <v>93</v>
      </c>
      <c r="F316" s="17" t="s">
        <v>381</v>
      </c>
      <c r="G316" s="107">
        <f>'CDS-C'!B154</f>
        <v>0.1</v>
      </c>
      <c r="H316" s="27"/>
    </row>
    <row r="317" spans="1:8" x14ac:dyDescent="0.2">
      <c r="A317" s="64" t="s">
        <v>383</v>
      </c>
      <c r="B317" s="257" cm="1">
        <f t="array" aca="1" ref="B317" ca="1">IF(ISBLANK(INDIRECT(MID(_xlfn.FORMULATEXT(C317),2,LEN(_xlfn.FORMULATEXT(C317))-1)))=TRUE,"",C317)</f>
        <v>37</v>
      </c>
      <c r="C317" s="80">
        <f>'CDS-C'!C153</f>
        <v>37</v>
      </c>
      <c r="D317" s="17" t="s">
        <v>277</v>
      </c>
      <c r="E317" s="48">
        <v>94</v>
      </c>
      <c r="F317" s="17" t="s">
        <v>384</v>
      </c>
      <c r="G317" s="74"/>
      <c r="H317" s="27"/>
    </row>
    <row r="318" spans="1:8" x14ac:dyDescent="0.2">
      <c r="A318" s="64" t="s">
        <v>385</v>
      </c>
      <c r="B318" s="257" cm="1">
        <f t="array" aca="1" ref="B318" ca="1">IF(ISBLANK(INDIRECT(MID(_xlfn.FORMULATEXT(C318),2,LEN(_xlfn.FORMULATEXT(C318))-1)))=TRUE,"",C318)</f>
        <v>27</v>
      </c>
      <c r="C318" s="80">
        <f>'CDS-C'!C154</f>
        <v>27</v>
      </c>
      <c r="D318" s="17" t="s">
        <v>277</v>
      </c>
      <c r="E318" s="48">
        <v>95</v>
      </c>
      <c r="F318" s="17" t="s">
        <v>384</v>
      </c>
      <c r="G318" s="74"/>
      <c r="H318" s="27"/>
    </row>
    <row r="319" spans="1:8" x14ac:dyDescent="0.2">
      <c r="A319" s="64" t="s">
        <v>386</v>
      </c>
      <c r="B319" s="257" cm="1">
        <f t="array" aca="1" ref="B319" ca="1">IF(ISBLANK(INDIRECT(MID(_xlfn.FORMULATEXT(C319),2,LEN(_xlfn.FORMULATEXT(C319))-1)))=TRUE,"",C319)</f>
        <v>1030</v>
      </c>
      <c r="C319" s="80">
        <f>'CDS-C'!B159</f>
        <v>1030</v>
      </c>
      <c r="D319" s="17" t="s">
        <v>277</v>
      </c>
      <c r="E319" s="48">
        <v>96</v>
      </c>
      <c r="F319" s="17" t="s">
        <v>384</v>
      </c>
      <c r="G319" s="74"/>
      <c r="H319" s="27"/>
    </row>
    <row r="320" spans="1:8" x14ac:dyDescent="0.2">
      <c r="A320" s="64" t="s">
        <v>387</v>
      </c>
      <c r="B320" s="257" cm="1">
        <f t="array" aca="1" ref="B320" ca="1">IF(ISBLANK(INDIRECT(MID(_xlfn.FORMULATEXT(C320),2,LEN(_xlfn.FORMULATEXT(C320))-1)))=TRUE,"",C320)</f>
        <v>1310</v>
      </c>
      <c r="C320" s="80">
        <f>'CDS-C'!D159</f>
        <v>1310</v>
      </c>
      <c r="D320" s="17" t="s">
        <v>277</v>
      </c>
      <c r="E320" s="48">
        <v>97</v>
      </c>
      <c r="F320" s="17" t="s">
        <v>384</v>
      </c>
      <c r="G320" s="74"/>
      <c r="H320" s="27"/>
    </row>
    <row r="321" spans="1:8" x14ac:dyDescent="0.2">
      <c r="A321" s="64" t="s">
        <v>388</v>
      </c>
      <c r="B321" s="257" cm="1">
        <f t="array" aca="1" ref="B321" ca="1">IF(ISBLANK(INDIRECT(MID(_xlfn.FORMULATEXT(C321),2,LEN(_xlfn.FORMULATEXT(C321))-1)))=TRUE,"",C321)</f>
        <v>600</v>
      </c>
      <c r="C321" s="80">
        <f>'CDS-C'!B160</f>
        <v>600</v>
      </c>
      <c r="D321" s="17" t="s">
        <v>277</v>
      </c>
      <c r="E321" s="48">
        <v>98</v>
      </c>
      <c r="F321" s="17" t="s">
        <v>384</v>
      </c>
      <c r="G321" s="74"/>
      <c r="H321" s="27"/>
    </row>
    <row r="322" spans="1:8" x14ac:dyDescent="0.2">
      <c r="A322" s="64" t="s">
        <v>389</v>
      </c>
      <c r="B322" s="257" cm="1">
        <f t="array" aca="1" ref="B322" ca="1">IF(ISBLANK(INDIRECT(MID(_xlfn.FORMULATEXT(C322),2,LEN(_xlfn.FORMULATEXT(C322))-1)))=TRUE,"",C322)</f>
        <v>690</v>
      </c>
      <c r="C322" s="80">
        <f>'CDS-C'!D160</f>
        <v>690</v>
      </c>
      <c r="D322" s="17" t="s">
        <v>277</v>
      </c>
      <c r="E322" s="48">
        <v>99</v>
      </c>
      <c r="F322" s="17" t="s">
        <v>384</v>
      </c>
      <c r="G322" s="74"/>
      <c r="H322" s="27"/>
    </row>
    <row r="323" spans="1:8" x14ac:dyDescent="0.2">
      <c r="A323" s="64" t="s">
        <v>390</v>
      </c>
      <c r="B323" s="257" cm="1">
        <f t="array" aca="1" ref="B323" ca="1">IF(ISBLANK(INDIRECT(MID(_xlfn.FORMULATEXT(C323),2,LEN(_xlfn.FORMULATEXT(C323))-1)))=TRUE,"",C323)</f>
        <v>540</v>
      </c>
      <c r="C323" s="80">
        <f>'CDS-C'!B161</f>
        <v>540</v>
      </c>
      <c r="D323" s="17" t="s">
        <v>277</v>
      </c>
      <c r="E323" s="48">
        <v>100</v>
      </c>
      <c r="F323" s="17" t="s">
        <v>384</v>
      </c>
      <c r="G323" s="74"/>
      <c r="H323" s="27"/>
    </row>
    <row r="324" spans="1:8" x14ac:dyDescent="0.2">
      <c r="A324" s="64" t="s">
        <v>391</v>
      </c>
      <c r="B324" s="257" cm="1">
        <f t="array" aca="1" ref="B324" ca="1">IF(ISBLANK(INDIRECT(MID(_xlfn.FORMULATEXT(C324),2,LEN(_xlfn.FORMULATEXT(C324))-1)))=TRUE,"",C324)</f>
        <v>660</v>
      </c>
      <c r="C324" s="80">
        <f>'CDS-C'!D161</f>
        <v>660</v>
      </c>
      <c r="D324" s="17" t="s">
        <v>277</v>
      </c>
      <c r="E324" s="48">
        <v>101</v>
      </c>
      <c r="F324" s="17" t="s">
        <v>384</v>
      </c>
      <c r="G324" s="17"/>
      <c r="H324" s="27"/>
    </row>
    <row r="325" spans="1:8" x14ac:dyDescent="0.2">
      <c r="A325" s="64" t="s">
        <v>392</v>
      </c>
      <c r="B325" s="257" cm="1">
        <f t="array" aca="1" ref="B325" ca="1">IF(ISBLANK(INDIRECT(MID(_xlfn.FORMULATEXT(C325),2,LEN(_xlfn.FORMULATEXT(C325))-1)))=TRUE,"",C325)</f>
        <v>25</v>
      </c>
      <c r="C325" s="80">
        <f>'CDS-C'!B162</f>
        <v>25</v>
      </c>
      <c r="D325" s="17" t="s">
        <v>277</v>
      </c>
      <c r="E325" s="48">
        <v>102</v>
      </c>
      <c r="F325" s="17" t="s">
        <v>384</v>
      </c>
      <c r="G325" s="17"/>
      <c r="H325" s="27"/>
    </row>
    <row r="326" spans="1:8" x14ac:dyDescent="0.2">
      <c r="A326" s="64" t="s">
        <v>393</v>
      </c>
      <c r="B326" s="257" cm="1">
        <f t="array" aca="1" ref="B326" ca="1">IF(ISBLANK(INDIRECT(MID(_xlfn.FORMULATEXT(C326),2,LEN(_xlfn.FORMULATEXT(C326))-1)))=TRUE,"",C326)</f>
        <v>31</v>
      </c>
      <c r="C326" s="80">
        <f>'CDS-C'!D162</f>
        <v>31</v>
      </c>
      <c r="D326" s="17" t="s">
        <v>277</v>
      </c>
      <c r="E326" s="48">
        <v>103</v>
      </c>
      <c r="F326" s="17" t="s">
        <v>384</v>
      </c>
      <c r="G326" s="17"/>
      <c r="H326" s="27"/>
    </row>
    <row r="327" spans="1:8" x14ac:dyDescent="0.2">
      <c r="A327" s="64" t="s">
        <v>394</v>
      </c>
      <c r="B327" s="257" cm="1">
        <f t="array" aca="1" ref="B327" ca="1">IF(ISBLANK(INDIRECT(MID(_xlfn.FORMULATEXT(C327),2,LEN(_xlfn.FORMULATEXT(C327))-1)))=TRUE,"",C327)</f>
        <v>21</v>
      </c>
      <c r="C327" s="80">
        <f>'CDS-C'!B163</f>
        <v>21</v>
      </c>
      <c r="D327" s="17" t="s">
        <v>277</v>
      </c>
      <c r="E327" s="48">
        <v>104</v>
      </c>
      <c r="F327" s="17" t="s">
        <v>384</v>
      </c>
      <c r="G327" s="17"/>
      <c r="H327" s="27"/>
    </row>
    <row r="328" spans="1:8" x14ac:dyDescent="0.2">
      <c r="A328" s="64" t="s">
        <v>395</v>
      </c>
      <c r="B328" s="257" cm="1">
        <f t="array" aca="1" ref="B328" ca="1">IF(ISBLANK(INDIRECT(MID(_xlfn.FORMULATEXT(C328),2,LEN(_xlfn.FORMULATEXT(C328))-1)))=TRUE,"",C328)</f>
        <v>27</v>
      </c>
      <c r="C328" s="80">
        <f>'CDS-C'!D163</f>
        <v>27</v>
      </c>
      <c r="D328" s="17" t="s">
        <v>277</v>
      </c>
      <c r="E328" s="48">
        <v>105</v>
      </c>
      <c r="F328" s="17" t="s">
        <v>384</v>
      </c>
      <c r="G328" s="17"/>
      <c r="H328" s="27"/>
    </row>
    <row r="329" spans="1:8" x14ac:dyDescent="0.2">
      <c r="A329" s="64" t="s">
        <v>396</v>
      </c>
      <c r="B329" s="257" cm="1">
        <f t="array" aca="1" ref="B329" ca="1">IF(ISBLANK(INDIRECT(MID(_xlfn.FORMULATEXT(C329),2,LEN(_xlfn.FORMULATEXT(C329))-1)))=TRUE,"",C329)</f>
        <v>22</v>
      </c>
      <c r="C329" s="80">
        <f>'CDS-C'!B164</f>
        <v>22</v>
      </c>
      <c r="D329" s="17" t="s">
        <v>277</v>
      </c>
      <c r="E329" s="48">
        <v>106</v>
      </c>
      <c r="F329" s="17" t="s">
        <v>384</v>
      </c>
      <c r="G329" s="17"/>
      <c r="H329" s="27"/>
    </row>
    <row r="330" spans="1:8" x14ac:dyDescent="0.2">
      <c r="A330" s="64" t="s">
        <v>397</v>
      </c>
      <c r="B330" s="257" cm="1">
        <f t="array" aca="1" ref="B330" ca="1">IF(ISBLANK(INDIRECT(MID(_xlfn.FORMULATEXT(C330),2,LEN(_xlfn.FORMULATEXT(C330))-1)))=TRUE,"",C330)</f>
        <v>35</v>
      </c>
      <c r="C330" s="80">
        <f>'CDS-C'!D164</f>
        <v>35</v>
      </c>
      <c r="D330" s="17" t="s">
        <v>277</v>
      </c>
      <c r="E330" s="48">
        <v>107</v>
      </c>
      <c r="F330" s="17" t="s">
        <v>384</v>
      </c>
      <c r="G330" s="17"/>
      <c r="H330" s="27"/>
    </row>
    <row r="331" spans="1:8" x14ac:dyDescent="0.2">
      <c r="A331" s="64" t="s">
        <v>398</v>
      </c>
      <c r="B331" s="257" cm="1">
        <f t="array" aca="1" ref="B331" ca="1">IF(ISBLANK(INDIRECT(MID(_xlfn.FORMULATEXT(C331),2,LEN(_xlfn.FORMULATEXT(C331))-1)))=TRUE,"",C331)</f>
        <v>27</v>
      </c>
      <c r="C331" s="80">
        <f>'CDS-C'!B165</f>
        <v>27</v>
      </c>
      <c r="D331" s="17" t="s">
        <v>277</v>
      </c>
      <c r="E331" s="48">
        <v>108</v>
      </c>
      <c r="F331" s="17" t="s">
        <v>384</v>
      </c>
      <c r="G331" s="17"/>
      <c r="H331" s="27"/>
    </row>
    <row r="332" spans="1:8" x14ac:dyDescent="0.2">
      <c r="A332" s="64" t="s">
        <v>399</v>
      </c>
      <c r="B332" s="257" cm="1">
        <f t="array" aca="1" ref="B332" ca="1">IF(ISBLANK(INDIRECT(MID(_xlfn.FORMULATEXT(C332),2,LEN(_xlfn.FORMULATEXT(C332))-1)))=TRUE,"",C332)</f>
        <v>35</v>
      </c>
      <c r="C332" s="80">
        <f>'CDS-C'!D165</f>
        <v>35</v>
      </c>
      <c r="D332" s="17" t="s">
        <v>277</v>
      </c>
      <c r="E332" s="48">
        <v>109</v>
      </c>
      <c r="F332" s="17" t="s">
        <v>384</v>
      </c>
      <c r="G332" s="17"/>
      <c r="H332" s="27"/>
    </row>
    <row r="333" spans="1:8" ht="17" x14ac:dyDescent="0.2">
      <c r="A333" s="64" t="s">
        <v>400</v>
      </c>
      <c r="B333" s="257" t="str" cm="1">
        <f t="array" aca="1" ref="B333" ca="1">IF(ISBLANK(INDIRECT(MID(_xlfn.FORMULATEXT(C333),2,LEN(_xlfn.FORMULATEXT(C333))-1)))=TRUE,"",C333)</f>
        <v/>
      </c>
      <c r="C333" s="80">
        <f>'CDS-C'!B166</f>
        <v>0</v>
      </c>
      <c r="D333" s="17" t="s">
        <v>277</v>
      </c>
      <c r="E333" s="48">
        <v>110</v>
      </c>
      <c r="F333" s="17" t="s">
        <v>384</v>
      </c>
      <c r="G333" s="17"/>
      <c r="H333" s="27"/>
    </row>
    <row r="334" spans="1:8" ht="17" x14ac:dyDescent="0.2">
      <c r="A334" s="64" t="s">
        <v>401</v>
      </c>
      <c r="B334" s="257" t="str" cm="1">
        <f t="array" aca="1" ref="B334" ca="1">IF(ISBLANK(INDIRECT(MID(_xlfn.FORMULATEXT(C334),2,LEN(_xlfn.FORMULATEXT(C334))-1)))=TRUE,"",C334)</f>
        <v/>
      </c>
      <c r="C334" s="80">
        <f>'CDS-C'!D166</f>
        <v>0</v>
      </c>
      <c r="D334" s="17" t="s">
        <v>277</v>
      </c>
      <c r="E334" s="48">
        <v>111</v>
      </c>
      <c r="F334" s="17" t="s">
        <v>384</v>
      </c>
      <c r="G334" s="17"/>
      <c r="H334" s="27"/>
    </row>
    <row r="335" spans="1:8" ht="17" x14ac:dyDescent="0.2">
      <c r="A335" s="64" t="s">
        <v>402</v>
      </c>
      <c r="B335" s="257" t="str" cm="1">
        <f t="array" aca="1" ref="B335" ca="1">IF(ISBLANK(INDIRECT(MID(_xlfn.FORMULATEXT(C335),2,LEN(_xlfn.FORMULATEXT(C335))-1)))=TRUE,"",C335)</f>
        <v/>
      </c>
      <c r="C335" s="80">
        <f>'CDS-C'!B167</f>
        <v>0</v>
      </c>
      <c r="D335" s="17" t="s">
        <v>277</v>
      </c>
      <c r="E335" s="48">
        <v>112</v>
      </c>
      <c r="F335" s="17" t="s">
        <v>384</v>
      </c>
      <c r="G335" s="17"/>
      <c r="H335" s="27"/>
    </row>
    <row r="336" spans="1:8" ht="17" x14ac:dyDescent="0.2">
      <c r="A336" s="64" t="s">
        <v>403</v>
      </c>
      <c r="B336" s="257" t="str" cm="1">
        <f t="array" aca="1" ref="B336" ca="1">IF(ISBLANK(INDIRECT(MID(_xlfn.FORMULATEXT(C336),2,LEN(_xlfn.FORMULATEXT(C336))-1)))=TRUE,"",C336)</f>
        <v/>
      </c>
      <c r="C336" s="80">
        <f>'CDS-C'!D167</f>
        <v>0</v>
      </c>
      <c r="D336" s="17" t="s">
        <v>277</v>
      </c>
      <c r="E336" s="48">
        <v>113</v>
      </c>
      <c r="F336" s="17" t="s">
        <v>384</v>
      </c>
      <c r="G336" s="17"/>
      <c r="H336" s="27"/>
    </row>
    <row r="337" spans="1:8" x14ac:dyDescent="0.2">
      <c r="A337" s="64" t="s">
        <v>404</v>
      </c>
      <c r="B337" s="257" cm="1">
        <f t="array" aca="1" ref="B337" ca="1">IF(ISBLANK(INDIRECT(MID(_xlfn.FORMULATEXT(G337),2,LEN(_xlfn.FORMULATEXT(G337))-1)))=TRUE,"",C337)</f>
        <v>23</v>
      </c>
      <c r="C337" s="261">
        <f>ROUND(TRUNC(G337*100, 1), 1)</f>
        <v>23</v>
      </c>
      <c r="D337" s="17" t="s">
        <v>277</v>
      </c>
      <c r="E337" s="48">
        <v>114</v>
      </c>
      <c r="F337" s="17" t="s">
        <v>381</v>
      </c>
      <c r="G337" s="183">
        <f>'CDS-C'!B170</f>
        <v>0.23</v>
      </c>
      <c r="H337" s="27"/>
    </row>
    <row r="338" spans="1:8" x14ac:dyDescent="0.2">
      <c r="A338" s="64" t="s">
        <v>405</v>
      </c>
      <c r="B338" s="257" cm="1">
        <f t="array" aca="1" ref="B338" ca="1">IF(ISBLANK(INDIRECT(MID(_xlfn.FORMULATEXT(G338),2,LEN(_xlfn.FORMULATEXT(G338))-1)))=TRUE,"",C338)</f>
        <v>52</v>
      </c>
      <c r="C338" s="261">
        <f t="shared" ref="C338:C342" si="1">ROUND(TRUNC(G338*100, 1), 1)</f>
        <v>52</v>
      </c>
      <c r="D338" s="17" t="s">
        <v>277</v>
      </c>
      <c r="E338" s="48">
        <v>115</v>
      </c>
      <c r="F338" s="17" t="s">
        <v>381</v>
      </c>
      <c r="G338" s="183">
        <f>'CDS-C'!B171</f>
        <v>0.52</v>
      </c>
      <c r="H338" s="27"/>
    </row>
    <row r="339" spans="1:8" x14ac:dyDescent="0.2">
      <c r="A339" s="64" t="s">
        <v>406</v>
      </c>
      <c r="B339" s="257" cm="1">
        <f t="array" aca="1" ref="B339" ca="1">IF(ISBLANK(INDIRECT(MID(_xlfn.FORMULATEXT(G339),2,LEN(_xlfn.FORMULATEXT(G339))-1)))=TRUE,"",C339)</f>
        <v>19</v>
      </c>
      <c r="C339" s="261">
        <f t="shared" si="1"/>
        <v>19</v>
      </c>
      <c r="D339" s="17" t="s">
        <v>277</v>
      </c>
      <c r="E339" s="48">
        <v>116</v>
      </c>
      <c r="F339" s="17" t="s">
        <v>381</v>
      </c>
      <c r="G339" s="183">
        <f>'CDS-C'!B172</f>
        <v>0.19</v>
      </c>
      <c r="H339" s="27"/>
    </row>
    <row r="340" spans="1:8" x14ac:dyDescent="0.2">
      <c r="A340" s="64" t="s">
        <v>407</v>
      </c>
      <c r="B340" s="257" cm="1">
        <f t="array" aca="1" ref="B340" ca="1">IF(ISBLANK(INDIRECT(MID(_xlfn.FORMULATEXT(G340),2,LEN(_xlfn.FORMULATEXT(G340))-1)))=TRUE,"",C340)</f>
        <v>6</v>
      </c>
      <c r="C340" s="261">
        <f t="shared" si="1"/>
        <v>6</v>
      </c>
      <c r="D340" s="17" t="s">
        <v>277</v>
      </c>
      <c r="E340" s="48">
        <v>117</v>
      </c>
      <c r="F340" s="17" t="s">
        <v>381</v>
      </c>
      <c r="G340" s="183">
        <f>'CDS-C'!B173</f>
        <v>0.06</v>
      </c>
      <c r="H340" s="27"/>
    </row>
    <row r="341" spans="1:8" x14ac:dyDescent="0.2">
      <c r="A341" s="64" t="s">
        <v>408</v>
      </c>
      <c r="B341" s="257" cm="1">
        <f t="array" aca="1" ref="B341" ca="1">IF(ISBLANK(INDIRECT(MID(_xlfn.FORMULATEXT(G341),2,LEN(_xlfn.FORMULATEXT(G341))-1)))=TRUE,"",C341)</f>
        <v>0</v>
      </c>
      <c r="C341" s="261">
        <f t="shared" si="1"/>
        <v>0</v>
      </c>
      <c r="D341" s="17" t="s">
        <v>277</v>
      </c>
      <c r="E341" s="48">
        <v>118</v>
      </c>
      <c r="F341" s="17" t="s">
        <v>381</v>
      </c>
      <c r="G341" s="183">
        <f>'CDS-C'!B174</f>
        <v>0</v>
      </c>
      <c r="H341" s="27"/>
    </row>
    <row r="342" spans="1:8" x14ac:dyDescent="0.2">
      <c r="A342" s="64" t="s">
        <v>409</v>
      </c>
      <c r="B342" s="257" cm="1">
        <f t="array" aca="1" ref="B342" ca="1">IF(ISBLANK(INDIRECT(MID(_xlfn.FORMULATEXT(G342),2,LEN(_xlfn.FORMULATEXT(G342))-1)))=TRUE,"",C342)</f>
        <v>0</v>
      </c>
      <c r="C342" s="261">
        <f t="shared" si="1"/>
        <v>0</v>
      </c>
      <c r="D342" s="17" t="s">
        <v>277</v>
      </c>
      <c r="E342" s="48">
        <v>119</v>
      </c>
      <c r="F342" s="17" t="s">
        <v>381</v>
      </c>
      <c r="G342" s="183">
        <f>'CDS-C'!B175</f>
        <v>0</v>
      </c>
      <c r="H342" s="27"/>
    </row>
    <row r="343" spans="1:8" x14ac:dyDescent="0.2">
      <c r="A343" s="64" t="s">
        <v>410</v>
      </c>
      <c r="B343" s="257" cm="1">
        <f t="array" aca="1" ref="B343" ca="1">IF(ISBLANK(INDIRECT(MID(_xlfn.FORMULATEXT(G343),2,LEN(_xlfn.FORMULATEXT(G343))-1)))=TRUE,"",C343)</f>
        <v>11</v>
      </c>
      <c r="C343" s="260">
        <f>ROUND(TRUNC(G343*100, 1), 1)</f>
        <v>11</v>
      </c>
      <c r="D343" s="17" t="s">
        <v>277</v>
      </c>
      <c r="E343" s="48">
        <v>120</v>
      </c>
      <c r="F343" s="17" t="s">
        <v>381</v>
      </c>
      <c r="G343" s="183">
        <f>'CDS-C'!C170</f>
        <v>0.11</v>
      </c>
      <c r="H343" s="27"/>
    </row>
    <row r="344" spans="1:8" x14ac:dyDescent="0.2">
      <c r="A344" s="64" t="s">
        <v>411</v>
      </c>
      <c r="B344" s="257" cm="1">
        <f t="array" aca="1" ref="B344" ca="1">IF(ISBLANK(INDIRECT(MID(_xlfn.FORMULATEXT(G344),2,LEN(_xlfn.FORMULATEXT(G344))-1)))=TRUE,"",C344)</f>
        <v>45</v>
      </c>
      <c r="C344" s="260">
        <f t="shared" ref="C344:C348" si="2">ROUND(TRUNC(G344*100, 1), 1)</f>
        <v>45</v>
      </c>
      <c r="D344" s="17" t="s">
        <v>277</v>
      </c>
      <c r="E344" s="48">
        <v>121</v>
      </c>
      <c r="F344" s="17" t="s">
        <v>381</v>
      </c>
      <c r="G344" s="183">
        <f>'CDS-C'!C171</f>
        <v>0.45</v>
      </c>
      <c r="H344" s="27"/>
    </row>
    <row r="345" spans="1:8" x14ac:dyDescent="0.2">
      <c r="A345" s="64" t="s">
        <v>412</v>
      </c>
      <c r="B345" s="257" cm="1">
        <f t="array" aca="1" ref="B345" ca="1">IF(ISBLANK(INDIRECT(MID(_xlfn.FORMULATEXT(G345),2,LEN(_xlfn.FORMULATEXT(G345))-1)))=TRUE,"",C345)</f>
        <v>32</v>
      </c>
      <c r="C345" s="260">
        <f t="shared" si="2"/>
        <v>32</v>
      </c>
      <c r="D345" s="17" t="s">
        <v>277</v>
      </c>
      <c r="E345" s="48">
        <v>122</v>
      </c>
      <c r="F345" s="17" t="s">
        <v>381</v>
      </c>
      <c r="G345" s="183">
        <f>'CDS-C'!C172</f>
        <v>0.32</v>
      </c>
      <c r="H345" s="27"/>
    </row>
    <row r="346" spans="1:8" x14ac:dyDescent="0.2">
      <c r="A346" s="64" t="s">
        <v>413</v>
      </c>
      <c r="B346" s="257" cm="1">
        <f t="array" aca="1" ref="B346" ca="1">IF(ISBLANK(INDIRECT(MID(_xlfn.FORMULATEXT(G346),2,LEN(_xlfn.FORMULATEXT(G346))-1)))=TRUE,"",C346)</f>
        <v>12</v>
      </c>
      <c r="C346" s="260">
        <f t="shared" si="2"/>
        <v>12</v>
      </c>
      <c r="D346" s="17" t="s">
        <v>277</v>
      </c>
      <c r="E346" s="48">
        <v>123</v>
      </c>
      <c r="F346" s="17" t="s">
        <v>381</v>
      </c>
      <c r="G346" s="183">
        <f>'CDS-C'!C173</f>
        <v>0.12</v>
      </c>
      <c r="H346" s="27"/>
    </row>
    <row r="347" spans="1:8" x14ac:dyDescent="0.2">
      <c r="A347" s="64" t="s">
        <v>414</v>
      </c>
      <c r="B347" s="257" cm="1">
        <f t="array" aca="1" ref="B347" ca="1">IF(ISBLANK(INDIRECT(MID(_xlfn.FORMULATEXT(G347),2,LEN(_xlfn.FORMULATEXT(G347))-1)))=TRUE,"",C347)</f>
        <v>0</v>
      </c>
      <c r="C347" s="260">
        <f t="shared" si="2"/>
        <v>0</v>
      </c>
      <c r="D347" s="17" t="s">
        <v>277</v>
      </c>
      <c r="E347" s="48">
        <v>124</v>
      </c>
      <c r="F347" s="17" t="s">
        <v>381</v>
      </c>
      <c r="G347" s="183">
        <f>'CDS-C'!C174</f>
        <v>0</v>
      </c>
      <c r="H347" s="27"/>
    </row>
    <row r="348" spans="1:8" x14ac:dyDescent="0.2">
      <c r="A348" s="64" t="s">
        <v>415</v>
      </c>
      <c r="B348" s="257" cm="1">
        <f t="array" aca="1" ref="B348" ca="1">IF(ISBLANK(INDIRECT(MID(_xlfn.FORMULATEXT(G348),2,LEN(_xlfn.FORMULATEXT(G348))-1)))=TRUE,"",C348)</f>
        <v>0</v>
      </c>
      <c r="C348" s="260">
        <f t="shared" si="2"/>
        <v>0</v>
      </c>
      <c r="D348" s="17" t="s">
        <v>277</v>
      </c>
      <c r="E348" s="48">
        <v>125</v>
      </c>
      <c r="F348" s="17" t="s">
        <v>381</v>
      </c>
      <c r="G348" s="183">
        <f>'CDS-C'!C175</f>
        <v>0</v>
      </c>
      <c r="H348" s="27"/>
    </row>
    <row r="349" spans="1:8" x14ac:dyDescent="0.2">
      <c r="A349" s="64" t="s">
        <v>416</v>
      </c>
      <c r="B349" s="257" cm="1">
        <f t="array" aca="1" ref="B349" ca="1">IF(ISBLANK(INDIRECT(MID(_xlfn.FORMULATEXT(G349),2,LEN(_xlfn.FORMULATEXT(G349))-1)))=TRUE,"",C349)</f>
        <v>6</v>
      </c>
      <c r="C349" s="260">
        <f>ROUND(TRUNC(G349*100, 1), 1)</f>
        <v>6</v>
      </c>
      <c r="D349" s="17" t="s">
        <v>277</v>
      </c>
      <c r="E349" s="48">
        <v>126</v>
      </c>
      <c r="F349" s="17" t="s">
        <v>381</v>
      </c>
      <c r="G349" s="183">
        <f>'CDS-C'!B179</f>
        <v>0.06</v>
      </c>
      <c r="H349" s="27"/>
    </row>
    <row r="350" spans="1:8" x14ac:dyDescent="0.2">
      <c r="A350" s="64" t="s">
        <v>417</v>
      </c>
      <c r="B350" s="257" cm="1">
        <f t="array" aca="1" ref="B350" ca="1">IF(ISBLANK(INDIRECT(MID(_xlfn.FORMULATEXT(G350),2,LEN(_xlfn.FORMULATEXT(G350))-1)))=TRUE,"",C350)</f>
        <v>50</v>
      </c>
      <c r="C350" s="260">
        <f t="shared" ref="C350:C353" si="3">ROUND(TRUNC(G350*100, 1), 1)</f>
        <v>50</v>
      </c>
      <c r="D350" s="17" t="s">
        <v>277</v>
      </c>
      <c r="E350" s="48">
        <v>127</v>
      </c>
      <c r="F350" s="17" t="s">
        <v>381</v>
      </c>
      <c r="G350" s="183">
        <f>'CDS-C'!B180</f>
        <v>0.5</v>
      </c>
      <c r="H350" s="27"/>
    </row>
    <row r="351" spans="1:8" x14ac:dyDescent="0.2">
      <c r="A351" s="64" t="s">
        <v>418</v>
      </c>
      <c r="B351" s="257" cm="1">
        <f t="array" aca="1" ref="B351" ca="1">IF(ISBLANK(INDIRECT(MID(_xlfn.FORMULATEXT(G351),2,LEN(_xlfn.FORMULATEXT(G351))-1)))=TRUE,"",C351)</f>
        <v>33</v>
      </c>
      <c r="C351" s="260">
        <f t="shared" si="3"/>
        <v>33</v>
      </c>
      <c r="D351" s="17" t="s">
        <v>277</v>
      </c>
      <c r="E351" s="48">
        <v>128</v>
      </c>
      <c r="F351" s="17" t="s">
        <v>381</v>
      </c>
      <c r="G351" s="183">
        <f>'CDS-C'!B181</f>
        <v>0.33</v>
      </c>
      <c r="H351" s="27"/>
    </row>
    <row r="352" spans="1:8" x14ac:dyDescent="0.2">
      <c r="A352" s="64" t="s">
        <v>419</v>
      </c>
      <c r="B352" s="257" cm="1">
        <f t="array" aca="1" ref="B352" ca="1">IF(ISBLANK(INDIRECT(MID(_xlfn.FORMULATEXT(G352),2,LEN(_xlfn.FORMULATEXT(G352))-1)))=TRUE,"",C352)</f>
        <v>11</v>
      </c>
      <c r="C352" s="260">
        <f t="shared" si="3"/>
        <v>11</v>
      </c>
      <c r="D352" s="17" t="s">
        <v>277</v>
      </c>
      <c r="E352" s="48">
        <v>129</v>
      </c>
      <c r="F352" s="17" t="s">
        <v>381</v>
      </c>
      <c r="G352" s="183">
        <f>'CDS-C'!B182</f>
        <v>0.11</v>
      </c>
      <c r="H352" s="27"/>
    </row>
    <row r="353" spans="1:8" x14ac:dyDescent="0.2">
      <c r="A353" s="64" t="s">
        <v>420</v>
      </c>
      <c r="B353" s="257" cm="1">
        <f t="array" aca="1" ref="B353" ca="1">IF(ISBLANK(INDIRECT(MID(_xlfn.FORMULATEXT(G353),2,LEN(_xlfn.FORMULATEXT(G353))-1)))=TRUE,"",C353)</f>
        <v>0</v>
      </c>
      <c r="C353" s="260">
        <f t="shared" si="3"/>
        <v>0</v>
      </c>
      <c r="D353" s="17" t="s">
        <v>277</v>
      </c>
      <c r="E353" s="48">
        <v>130</v>
      </c>
      <c r="F353" s="17" t="s">
        <v>381</v>
      </c>
      <c r="G353" s="183">
        <f>'CDS-C'!B183</f>
        <v>0</v>
      </c>
      <c r="H353" s="27"/>
    </row>
    <row r="354" spans="1:8" x14ac:dyDescent="0.2">
      <c r="A354" s="64" t="s">
        <v>421</v>
      </c>
      <c r="B354" s="257" cm="1">
        <f t="array" aca="1" ref="B354" ca="1">IF(ISBLANK(INDIRECT(MID(_xlfn.FORMULATEXT(G354),2,LEN(_xlfn.FORMULATEXT(G354))-1)))=TRUE,"",C354)</f>
        <v>0</v>
      </c>
      <c r="C354" s="260">
        <f>ROUND(TRUNC(G354*100, 1), 1)</f>
        <v>0</v>
      </c>
      <c r="D354" s="17" t="s">
        <v>277</v>
      </c>
      <c r="E354" s="48">
        <v>131</v>
      </c>
      <c r="F354" s="17" t="s">
        <v>381</v>
      </c>
      <c r="G354" s="183">
        <f>'CDS-C'!B184</f>
        <v>0</v>
      </c>
      <c r="H354" s="27"/>
    </row>
    <row r="355" spans="1:8" x14ac:dyDescent="0.2">
      <c r="A355" s="64" t="s">
        <v>422</v>
      </c>
      <c r="B355" s="257" cm="1">
        <f t="array" aca="1" ref="B355" ca="1">IF(ISBLANK(INDIRECT(MID(_xlfn.FORMULATEXT(G355),2,LEN(_xlfn.FORMULATEXT(G355))-1)))=TRUE,"",C355)</f>
        <v>45</v>
      </c>
      <c r="C355" s="260">
        <f t="shared" ref="C355:C360" si="4">ROUND(TRUNC(G355*100, 1), 1)</f>
        <v>45</v>
      </c>
      <c r="D355" s="17" t="s">
        <v>277</v>
      </c>
      <c r="E355" s="48">
        <v>132</v>
      </c>
      <c r="F355" s="17" t="s">
        <v>381</v>
      </c>
      <c r="G355" s="183">
        <f>'CDS-C'!E179</f>
        <v>0.45</v>
      </c>
      <c r="H355" s="27"/>
    </row>
    <row r="356" spans="1:8" x14ac:dyDescent="0.2">
      <c r="A356" s="64" t="s">
        <v>423</v>
      </c>
      <c r="B356" s="257" cm="1">
        <f t="array" aca="1" ref="B356" ca="1">IF(ISBLANK(INDIRECT(MID(_xlfn.FORMULATEXT(G356),2,LEN(_xlfn.FORMULATEXT(G356))-1)))=TRUE,"",C356)</f>
        <v>33</v>
      </c>
      <c r="C356" s="260">
        <f t="shared" si="4"/>
        <v>33</v>
      </c>
      <c r="D356" s="17" t="s">
        <v>277</v>
      </c>
      <c r="E356" s="48">
        <v>133</v>
      </c>
      <c r="F356" s="17" t="s">
        <v>381</v>
      </c>
      <c r="G356" s="183">
        <f>'CDS-C'!E180</f>
        <v>0.33</v>
      </c>
      <c r="H356" s="27"/>
    </row>
    <row r="357" spans="1:8" x14ac:dyDescent="0.2">
      <c r="A357" s="64" t="s">
        <v>424</v>
      </c>
      <c r="B357" s="257" cm="1">
        <f t="array" aca="1" ref="B357" ca="1">IF(ISBLANK(INDIRECT(MID(_xlfn.FORMULATEXT(G357),2,LEN(_xlfn.FORMULATEXT(G357))-1)))=TRUE,"",C357)</f>
        <v>22</v>
      </c>
      <c r="C357" s="260">
        <f t="shared" si="4"/>
        <v>22</v>
      </c>
      <c r="D357" s="17" t="s">
        <v>277</v>
      </c>
      <c r="E357" s="48">
        <v>134</v>
      </c>
      <c r="F357" s="17" t="s">
        <v>381</v>
      </c>
      <c r="G357" s="183">
        <f>'CDS-C'!E181</f>
        <v>0.22</v>
      </c>
      <c r="H357" s="27"/>
    </row>
    <row r="358" spans="1:8" x14ac:dyDescent="0.2">
      <c r="A358" s="64" t="s">
        <v>425</v>
      </c>
      <c r="B358" s="257" cm="1">
        <f t="array" aca="1" ref="B358" ca="1">IF(ISBLANK(INDIRECT(MID(_xlfn.FORMULATEXT(G358),2,LEN(_xlfn.FORMULATEXT(G358))-1)))=TRUE,"",C358)</f>
        <v>0</v>
      </c>
      <c r="C358" s="260">
        <f t="shared" si="4"/>
        <v>0</v>
      </c>
      <c r="D358" s="17" t="s">
        <v>277</v>
      </c>
      <c r="E358" s="48">
        <v>135</v>
      </c>
      <c r="F358" s="17" t="s">
        <v>381</v>
      </c>
      <c r="G358" s="183">
        <f>'CDS-C'!E182</f>
        <v>0</v>
      </c>
      <c r="H358" s="27"/>
    </row>
    <row r="359" spans="1:8" x14ac:dyDescent="0.2">
      <c r="A359" s="64" t="s">
        <v>426</v>
      </c>
      <c r="B359" s="257" cm="1">
        <f t="array" aca="1" ref="B359" ca="1">IF(ISBLANK(INDIRECT(MID(_xlfn.FORMULATEXT(G359),2,LEN(_xlfn.FORMULATEXT(G359))-1)))=TRUE,"",C359)</f>
        <v>0</v>
      </c>
      <c r="C359" s="260">
        <f t="shared" si="4"/>
        <v>0</v>
      </c>
      <c r="D359" s="17" t="s">
        <v>277</v>
      </c>
      <c r="E359" s="48">
        <v>136</v>
      </c>
      <c r="F359" s="17" t="s">
        <v>381</v>
      </c>
      <c r="G359" s="183">
        <f>'CDS-C'!E183</f>
        <v>0</v>
      </c>
      <c r="H359" s="27"/>
    </row>
    <row r="360" spans="1:8" x14ac:dyDescent="0.2">
      <c r="A360" s="64" t="s">
        <v>427</v>
      </c>
      <c r="B360" s="257" cm="1">
        <f t="array" aca="1" ref="B360" ca="1">IF(ISBLANK(INDIRECT(MID(_xlfn.FORMULATEXT(G360),2,LEN(_xlfn.FORMULATEXT(G360))-1)))=TRUE,"",C360)</f>
        <v>0</v>
      </c>
      <c r="C360" s="260">
        <f t="shared" si="4"/>
        <v>0</v>
      </c>
      <c r="D360" s="17" t="s">
        <v>277</v>
      </c>
      <c r="E360" s="48">
        <v>137</v>
      </c>
      <c r="F360" s="17" t="s">
        <v>381</v>
      </c>
      <c r="G360" s="183">
        <f>'CDS-C'!E184</f>
        <v>0</v>
      </c>
      <c r="H360" s="27"/>
    </row>
    <row r="361" spans="1:8" x14ac:dyDescent="0.2">
      <c r="A361" s="64" t="s">
        <v>428</v>
      </c>
      <c r="B361" s="257" cm="1">
        <f t="array" aca="1" ref="B361" ca="1">IF(ISBLANK(INDIRECT(MID(_xlfn.FORMULATEXT(G361),2,LEN(_xlfn.FORMULATEXT(G361))-1)))=TRUE,"",C361)</f>
        <v>45</v>
      </c>
      <c r="C361" s="260">
        <f>ROUND(TRUNC(G361*100, 1), 1)</f>
        <v>45</v>
      </c>
      <c r="D361" s="17" t="s">
        <v>277</v>
      </c>
      <c r="E361" s="48">
        <v>138</v>
      </c>
      <c r="F361" s="17" t="s">
        <v>381</v>
      </c>
      <c r="G361" s="183">
        <f>'CDS-C'!B189</f>
        <v>0.45</v>
      </c>
      <c r="H361" s="27"/>
    </row>
    <row r="362" spans="1:8" x14ac:dyDescent="0.2">
      <c r="A362" s="64" t="s">
        <v>429</v>
      </c>
      <c r="B362" s="257" cm="1">
        <f t="array" aca="1" ref="B362" ca="1">IF(ISBLANK(INDIRECT(MID(_xlfn.FORMULATEXT(G362),2,LEN(_xlfn.FORMULATEXT(G362))-1)))=TRUE,"",C362)</f>
        <v>22</v>
      </c>
      <c r="C362" s="260">
        <f t="shared" ref="C362:C366" si="5">ROUND(TRUNC(G362*100, 1), 1)</f>
        <v>22</v>
      </c>
      <c r="D362" s="17" t="s">
        <v>277</v>
      </c>
      <c r="E362" s="48">
        <v>139</v>
      </c>
      <c r="F362" s="17" t="s">
        <v>381</v>
      </c>
      <c r="G362" s="183">
        <f>'CDS-C'!B190</f>
        <v>0.22</v>
      </c>
      <c r="H362" s="27"/>
    </row>
    <row r="363" spans="1:8" x14ac:dyDescent="0.2">
      <c r="A363" s="64" t="s">
        <v>430</v>
      </c>
      <c r="B363" s="257" cm="1">
        <f t="array" aca="1" ref="B363" ca="1">IF(ISBLANK(INDIRECT(MID(_xlfn.FORMULATEXT(G363),2,LEN(_xlfn.FORMULATEXT(G363))-1)))=TRUE,"",C363)</f>
        <v>33</v>
      </c>
      <c r="C363" s="260">
        <f t="shared" si="5"/>
        <v>33</v>
      </c>
      <c r="D363" s="17" t="s">
        <v>277</v>
      </c>
      <c r="E363" s="48">
        <v>140</v>
      </c>
      <c r="F363" s="17" t="s">
        <v>381</v>
      </c>
      <c r="G363" s="183">
        <f>'CDS-C'!B191</f>
        <v>0.33</v>
      </c>
      <c r="H363" s="27"/>
    </row>
    <row r="364" spans="1:8" x14ac:dyDescent="0.2">
      <c r="A364" s="64" t="s">
        <v>431</v>
      </c>
      <c r="B364" s="257" cm="1">
        <f t="array" aca="1" ref="B364" ca="1">IF(ISBLANK(INDIRECT(MID(_xlfn.FORMULATEXT(G364),2,LEN(_xlfn.FORMULATEXT(G364))-1)))=TRUE,"",C364)</f>
        <v>0</v>
      </c>
      <c r="C364" s="260">
        <f t="shared" si="5"/>
        <v>0</v>
      </c>
      <c r="D364" s="17" t="s">
        <v>277</v>
      </c>
      <c r="E364" s="48">
        <v>141</v>
      </c>
      <c r="F364" s="17" t="s">
        <v>381</v>
      </c>
      <c r="G364" s="183">
        <f>'CDS-C'!B192</f>
        <v>0</v>
      </c>
      <c r="H364" s="27"/>
    </row>
    <row r="365" spans="1:8" x14ac:dyDescent="0.2">
      <c r="A365" s="64" t="s">
        <v>432</v>
      </c>
      <c r="B365" s="257" cm="1">
        <f t="array" aca="1" ref="B365" ca="1">IF(ISBLANK(INDIRECT(MID(_xlfn.FORMULATEXT(G365),2,LEN(_xlfn.FORMULATEXT(G365))-1)))=TRUE,"",C365)</f>
        <v>0</v>
      </c>
      <c r="C365" s="260">
        <f t="shared" si="5"/>
        <v>0</v>
      </c>
      <c r="D365" s="17" t="s">
        <v>277</v>
      </c>
      <c r="E365" s="48">
        <v>142</v>
      </c>
      <c r="F365" s="17" t="s">
        <v>381</v>
      </c>
      <c r="G365" s="183">
        <f>'CDS-C'!B193</f>
        <v>0</v>
      </c>
      <c r="H365" s="27"/>
    </row>
    <row r="366" spans="1:8" x14ac:dyDescent="0.2">
      <c r="A366" s="64" t="s">
        <v>433</v>
      </c>
      <c r="B366" s="257" cm="1">
        <f t="array" aca="1" ref="B366" ca="1">IF(ISBLANK(INDIRECT(MID(_xlfn.FORMULATEXT(G366),2,LEN(_xlfn.FORMULATEXT(G366))-1)))=TRUE,"",C366)</f>
        <v>0</v>
      </c>
      <c r="C366" s="260">
        <f t="shared" si="5"/>
        <v>0</v>
      </c>
      <c r="D366" s="17" t="s">
        <v>277</v>
      </c>
      <c r="E366" s="48">
        <v>143</v>
      </c>
      <c r="F366" s="17" t="s">
        <v>381</v>
      </c>
      <c r="G366" s="183">
        <f>'CDS-C'!B194</f>
        <v>0</v>
      </c>
      <c r="H366" s="27"/>
    </row>
    <row r="367" spans="1:8" x14ac:dyDescent="0.2">
      <c r="A367" s="64" t="s">
        <v>434</v>
      </c>
      <c r="B367" s="257" cm="1">
        <f t="array" aca="1" ref="B367" ca="1">IF(ISBLANK(INDIRECT(MID(_xlfn.FORMULATEXT(G367),2,LEN(_xlfn.FORMULATEXT(G367))-1)))=TRUE,"",C367)</f>
        <v>16</v>
      </c>
      <c r="C367" s="260">
        <f>ROUND(TRUNC(G367*100, 1), 1)</f>
        <v>16</v>
      </c>
      <c r="D367" s="17" t="s">
        <v>277</v>
      </c>
      <c r="E367" s="48">
        <v>144</v>
      </c>
      <c r="F367" s="17" t="s">
        <v>381</v>
      </c>
      <c r="G367" s="183">
        <f>'CDS-C'!C189</f>
        <v>0.16</v>
      </c>
      <c r="H367" s="27"/>
    </row>
    <row r="368" spans="1:8" x14ac:dyDescent="0.2">
      <c r="A368" s="64" t="s">
        <v>435</v>
      </c>
      <c r="B368" s="257" cm="1">
        <f t="array" aca="1" ref="B368" ca="1">IF(ISBLANK(INDIRECT(MID(_xlfn.FORMULATEXT(G368),2,LEN(_xlfn.FORMULATEXT(G368))-1)))=TRUE,"",C368)</f>
        <v>44</v>
      </c>
      <c r="C368" s="260">
        <f t="shared" ref="C368:C372" si="6">ROUND(TRUNC(G368*100, 1), 1)</f>
        <v>44</v>
      </c>
      <c r="D368" s="17" t="s">
        <v>277</v>
      </c>
      <c r="E368" s="48">
        <v>145</v>
      </c>
      <c r="F368" s="17" t="s">
        <v>381</v>
      </c>
      <c r="G368" s="183">
        <f>'CDS-C'!C190</f>
        <v>0.44</v>
      </c>
      <c r="H368" s="27"/>
    </row>
    <row r="369" spans="1:8" x14ac:dyDescent="0.2">
      <c r="A369" s="64" t="s">
        <v>436</v>
      </c>
      <c r="B369" s="257" cm="1">
        <f t="array" aca="1" ref="B369" ca="1">IF(ISBLANK(INDIRECT(MID(_xlfn.FORMULATEXT(G369),2,LEN(_xlfn.FORMULATEXT(G369))-1)))=TRUE,"",C369)</f>
        <v>32</v>
      </c>
      <c r="C369" s="260">
        <f t="shared" si="6"/>
        <v>32</v>
      </c>
      <c r="D369" s="17" t="s">
        <v>277</v>
      </c>
      <c r="E369" s="48">
        <v>146</v>
      </c>
      <c r="F369" s="17" t="s">
        <v>381</v>
      </c>
      <c r="G369" s="183">
        <f>'CDS-C'!C191</f>
        <v>0.32</v>
      </c>
      <c r="H369" s="27"/>
    </row>
    <row r="370" spans="1:8" x14ac:dyDescent="0.2">
      <c r="A370" s="64" t="s">
        <v>437</v>
      </c>
      <c r="B370" s="257" cm="1">
        <f t="array" aca="1" ref="B370" ca="1">IF(ISBLANK(INDIRECT(MID(_xlfn.FORMULATEXT(G370),2,LEN(_xlfn.FORMULATEXT(G370))-1)))=TRUE,"",C370)</f>
        <v>8</v>
      </c>
      <c r="C370" s="260">
        <f t="shared" si="6"/>
        <v>8</v>
      </c>
      <c r="D370" s="17" t="s">
        <v>277</v>
      </c>
      <c r="E370" s="48">
        <v>147</v>
      </c>
      <c r="F370" s="17" t="s">
        <v>381</v>
      </c>
      <c r="G370" s="183">
        <f>'CDS-C'!C192</f>
        <v>0.08</v>
      </c>
      <c r="H370" s="27"/>
    </row>
    <row r="371" spans="1:8" x14ac:dyDescent="0.2">
      <c r="A371" s="64" t="s">
        <v>438</v>
      </c>
      <c r="B371" s="257" cm="1">
        <f t="array" aca="1" ref="B371" ca="1">IF(ISBLANK(INDIRECT(MID(_xlfn.FORMULATEXT(G371),2,LEN(_xlfn.FORMULATEXT(G371))-1)))=TRUE,"",C371)</f>
        <v>0</v>
      </c>
      <c r="C371" s="260">
        <f t="shared" si="6"/>
        <v>0</v>
      </c>
      <c r="D371" s="17" t="s">
        <v>277</v>
      </c>
      <c r="E371" s="48">
        <v>148</v>
      </c>
      <c r="F371" s="17" t="s">
        <v>381</v>
      </c>
      <c r="G371" s="183">
        <f>'CDS-C'!C193</f>
        <v>0</v>
      </c>
      <c r="H371" s="27"/>
    </row>
    <row r="372" spans="1:8" x14ac:dyDescent="0.2">
      <c r="A372" s="64" t="s">
        <v>439</v>
      </c>
      <c r="B372" s="257" cm="1">
        <f t="array" aca="1" ref="B372" ca="1">IF(ISBLANK(INDIRECT(MID(_xlfn.FORMULATEXT(G372),2,LEN(_xlfn.FORMULATEXT(G372))-1)))=TRUE,"",C372)</f>
        <v>0</v>
      </c>
      <c r="C372" s="260">
        <f t="shared" si="6"/>
        <v>0</v>
      </c>
      <c r="D372" s="17" t="s">
        <v>277</v>
      </c>
      <c r="E372" s="48">
        <v>149</v>
      </c>
      <c r="F372" s="17" t="s">
        <v>381</v>
      </c>
      <c r="G372" s="183">
        <f>'CDS-C'!C194</f>
        <v>0</v>
      </c>
      <c r="H372" s="27"/>
    </row>
    <row r="373" spans="1:8" x14ac:dyDescent="0.2">
      <c r="A373" s="64" t="s">
        <v>440</v>
      </c>
      <c r="B373" s="257" cm="1">
        <f t="array" aca="1" ref="B373" ca="1">IF(ISBLANK(INDIRECT(MID(_xlfn.FORMULATEXT(G373),2,LEN(_xlfn.FORMULATEXT(G373))-1)))=TRUE,"",C373)</f>
        <v>66</v>
      </c>
      <c r="C373" s="260">
        <f>ROUND(TRUNC(G373*100, 1), 1)</f>
        <v>66</v>
      </c>
      <c r="D373" s="17" t="s">
        <v>277</v>
      </c>
      <c r="E373" s="48">
        <v>150</v>
      </c>
      <c r="F373" s="17" t="s">
        <v>381</v>
      </c>
      <c r="G373" s="183">
        <f>'CDS-C'!D189</f>
        <v>0.66</v>
      </c>
      <c r="H373" s="27"/>
    </row>
    <row r="374" spans="1:8" x14ac:dyDescent="0.2">
      <c r="A374" s="64" t="s">
        <v>441</v>
      </c>
      <c r="B374" s="257" cm="1">
        <f t="array" aca="1" ref="B374" ca="1">IF(ISBLANK(INDIRECT(MID(_xlfn.FORMULATEXT(G374),2,LEN(_xlfn.FORMULATEXT(G374))-1)))=TRUE,"",C374)</f>
        <v>15</v>
      </c>
      <c r="C374" s="260">
        <f t="shared" ref="C374:C378" si="7">ROUND(TRUNC(G374*100, 1), 1)</f>
        <v>15</v>
      </c>
      <c r="D374" s="17" t="s">
        <v>277</v>
      </c>
      <c r="E374" s="48">
        <v>151</v>
      </c>
      <c r="F374" s="17" t="s">
        <v>381</v>
      </c>
      <c r="G374" s="183">
        <f>'CDS-C'!D190</f>
        <v>0.15</v>
      </c>
      <c r="H374" s="27"/>
    </row>
    <row r="375" spans="1:8" x14ac:dyDescent="0.2">
      <c r="A375" s="64" t="s">
        <v>442</v>
      </c>
      <c r="B375" s="257" cm="1">
        <f t="array" aca="1" ref="B375" ca="1">IF(ISBLANK(INDIRECT(MID(_xlfn.FORMULATEXT(G375),2,LEN(_xlfn.FORMULATEXT(G375))-1)))=TRUE,"",C375)</f>
        <v>19</v>
      </c>
      <c r="C375" s="260">
        <f t="shared" si="7"/>
        <v>19</v>
      </c>
      <c r="D375" s="17" t="s">
        <v>277</v>
      </c>
      <c r="E375" s="48">
        <v>152</v>
      </c>
      <c r="F375" s="17" t="s">
        <v>381</v>
      </c>
      <c r="G375" s="183">
        <f>'CDS-C'!D191</f>
        <v>0.19</v>
      </c>
      <c r="H375" s="27"/>
    </row>
    <row r="376" spans="1:8" x14ac:dyDescent="0.2">
      <c r="A376" s="64" t="s">
        <v>443</v>
      </c>
      <c r="B376" s="257" cm="1">
        <f t="array" aca="1" ref="B376" ca="1">IF(ISBLANK(INDIRECT(MID(_xlfn.FORMULATEXT(G376),2,LEN(_xlfn.FORMULATEXT(G376))-1)))=TRUE,"",C376)</f>
        <v>0</v>
      </c>
      <c r="C376" s="260">
        <f t="shared" si="7"/>
        <v>0</v>
      </c>
      <c r="D376" s="17" t="s">
        <v>277</v>
      </c>
      <c r="E376" s="48">
        <v>153</v>
      </c>
      <c r="F376" s="17" t="s">
        <v>381</v>
      </c>
      <c r="G376" s="183">
        <f>'CDS-C'!D192</f>
        <v>0</v>
      </c>
      <c r="H376" s="27"/>
    </row>
    <row r="377" spans="1:8" x14ac:dyDescent="0.2">
      <c r="A377" s="64" t="s">
        <v>444</v>
      </c>
      <c r="B377" s="257" cm="1">
        <f t="array" aca="1" ref="B377" ca="1">IF(ISBLANK(INDIRECT(MID(_xlfn.FORMULATEXT(G377),2,LEN(_xlfn.FORMULATEXT(G377))-1)))=TRUE,"",C377)</f>
        <v>0</v>
      </c>
      <c r="C377" s="260">
        <f t="shared" si="7"/>
        <v>0</v>
      </c>
      <c r="D377" s="17" t="s">
        <v>277</v>
      </c>
      <c r="E377" s="48">
        <v>154</v>
      </c>
      <c r="F377" s="17" t="s">
        <v>381</v>
      </c>
      <c r="G377" s="183">
        <f>'CDS-C'!D193</f>
        <v>0</v>
      </c>
      <c r="H377" s="27"/>
    </row>
    <row r="378" spans="1:8" x14ac:dyDescent="0.2">
      <c r="A378" s="64" t="s">
        <v>445</v>
      </c>
      <c r="B378" s="257" cm="1">
        <f t="array" aca="1" ref="B378" ca="1">IF(ISBLANK(INDIRECT(MID(_xlfn.FORMULATEXT(G378),2,LEN(_xlfn.FORMULATEXT(G378))-1)))=TRUE,"",C378)</f>
        <v>0</v>
      </c>
      <c r="C378" s="260">
        <f t="shared" si="7"/>
        <v>0</v>
      </c>
      <c r="D378" s="17" t="s">
        <v>277</v>
      </c>
      <c r="E378" s="48">
        <v>155</v>
      </c>
      <c r="F378" s="17" t="s">
        <v>381</v>
      </c>
      <c r="G378" s="183">
        <f>'CDS-C'!D194</f>
        <v>0</v>
      </c>
      <c r="H378" s="27"/>
    </row>
    <row r="379" spans="1:8" ht="17" x14ac:dyDescent="0.2">
      <c r="A379" s="64" t="s">
        <v>446</v>
      </c>
      <c r="B379" s="257" t="str" cm="1">
        <f t="array" aca="1" ref="B379" ca="1">IF(ISBLANK(INDIRECT(MID(_xlfn.FORMULATEXT(G379),2,LEN(_xlfn.FORMULATEXT(G379))-1)))=TRUE,"",C379)</f>
        <v/>
      </c>
      <c r="C379" s="260">
        <f>ROUND(TRUNC(G379*100, 1), 1)</f>
        <v>0</v>
      </c>
      <c r="D379" s="17" t="s">
        <v>277</v>
      </c>
      <c r="E379" s="48">
        <v>156</v>
      </c>
      <c r="F379" s="17" t="s">
        <v>381</v>
      </c>
      <c r="G379" s="183">
        <f>'CDS-C'!E189</f>
        <v>0</v>
      </c>
      <c r="H379" s="27"/>
    </row>
    <row r="380" spans="1:8" ht="17" x14ac:dyDescent="0.2">
      <c r="A380" s="64" t="s">
        <v>447</v>
      </c>
      <c r="B380" s="257" t="str" cm="1">
        <f t="array" aca="1" ref="B380" ca="1">IF(ISBLANK(INDIRECT(MID(_xlfn.FORMULATEXT(G380),2,LEN(_xlfn.FORMULATEXT(G380))-1)))=TRUE,"",C380)</f>
        <v/>
      </c>
      <c r="C380" s="260">
        <f t="shared" ref="C380:C384" si="8">ROUND(TRUNC(G380*100, 1), 1)</f>
        <v>0</v>
      </c>
      <c r="D380" s="17" t="s">
        <v>277</v>
      </c>
      <c r="E380" s="48">
        <v>157</v>
      </c>
      <c r="F380" s="17" t="s">
        <v>381</v>
      </c>
      <c r="G380" s="183">
        <f>'CDS-C'!E190</f>
        <v>0</v>
      </c>
      <c r="H380" s="27"/>
    </row>
    <row r="381" spans="1:8" ht="17" x14ac:dyDescent="0.2">
      <c r="A381" s="64" t="s">
        <v>448</v>
      </c>
      <c r="B381" s="257" t="str" cm="1">
        <f t="array" aca="1" ref="B381" ca="1">IF(ISBLANK(INDIRECT(MID(_xlfn.FORMULATEXT(G381),2,LEN(_xlfn.FORMULATEXT(G381))-1)))=TRUE,"",C381)</f>
        <v/>
      </c>
      <c r="C381" s="260">
        <f t="shared" si="8"/>
        <v>0</v>
      </c>
      <c r="D381" s="17" t="s">
        <v>277</v>
      </c>
      <c r="E381" s="48">
        <v>158</v>
      </c>
      <c r="F381" s="17" t="s">
        <v>381</v>
      </c>
      <c r="G381" s="183">
        <f>'CDS-C'!E191</f>
        <v>0</v>
      </c>
      <c r="H381" s="27"/>
    </row>
    <row r="382" spans="1:8" ht="17" x14ac:dyDescent="0.2">
      <c r="A382" s="64" t="s">
        <v>449</v>
      </c>
      <c r="B382" s="257" t="str" cm="1">
        <f t="array" aca="1" ref="B382" ca="1">IF(ISBLANK(INDIRECT(MID(_xlfn.FORMULATEXT(G382),2,LEN(_xlfn.FORMULATEXT(G382))-1)))=TRUE,"",C382)</f>
        <v/>
      </c>
      <c r="C382" s="260">
        <f t="shared" si="8"/>
        <v>0</v>
      </c>
      <c r="D382" s="17" t="s">
        <v>277</v>
      </c>
      <c r="E382" s="48">
        <v>159</v>
      </c>
      <c r="F382" s="17" t="s">
        <v>381</v>
      </c>
      <c r="G382" s="183">
        <f>'CDS-C'!E192</f>
        <v>0</v>
      </c>
      <c r="H382" s="27"/>
    </row>
    <row r="383" spans="1:8" ht="17" x14ac:dyDescent="0.2">
      <c r="A383" s="64" t="s">
        <v>450</v>
      </c>
      <c r="B383" s="257" t="str" cm="1">
        <f t="array" aca="1" ref="B383" ca="1">IF(ISBLANK(INDIRECT(MID(_xlfn.FORMULATEXT(G383),2,LEN(_xlfn.FORMULATEXT(G383))-1)))=TRUE,"",C383)</f>
        <v/>
      </c>
      <c r="C383" s="260">
        <f t="shared" si="8"/>
        <v>0</v>
      </c>
      <c r="D383" s="17" t="s">
        <v>277</v>
      </c>
      <c r="E383" s="48">
        <v>160</v>
      </c>
      <c r="F383" s="17" t="s">
        <v>381</v>
      </c>
      <c r="G383" s="183">
        <f>'CDS-C'!E193</f>
        <v>0</v>
      </c>
      <c r="H383" s="27"/>
    </row>
    <row r="384" spans="1:8" ht="17" x14ac:dyDescent="0.2">
      <c r="A384" s="64" t="s">
        <v>451</v>
      </c>
      <c r="B384" s="257" t="str" cm="1">
        <f t="array" aca="1" ref="B384" ca="1">IF(ISBLANK(INDIRECT(MID(_xlfn.FORMULATEXT(G384),2,LEN(_xlfn.FORMULATEXT(G384))-1)))=TRUE,"",C384)</f>
        <v/>
      </c>
      <c r="C384" s="260">
        <f t="shared" si="8"/>
        <v>0</v>
      </c>
      <c r="D384" s="17" t="s">
        <v>277</v>
      </c>
      <c r="E384" s="48">
        <v>161</v>
      </c>
      <c r="F384" s="17" t="s">
        <v>381</v>
      </c>
      <c r="G384" s="183">
        <f>'CDS-C'!E194</f>
        <v>0</v>
      </c>
      <c r="H384" s="27"/>
    </row>
    <row r="385" spans="1:9" x14ac:dyDescent="0.2">
      <c r="A385" s="64" t="s">
        <v>452</v>
      </c>
      <c r="B385" s="257" cm="1">
        <f t="array" aca="1" ref="B385" ca="1">IF(ISBLANK(INDIRECT(MID(_xlfn.FORMULATEXT(G385),2,LEN(_xlfn.FORMULATEXT(G385))-1)))=TRUE,"",C385)</f>
        <v>20.7</v>
      </c>
      <c r="C385" s="260">
        <f>ROUND(TRUNC(G385*100, 1), 1)</f>
        <v>20.7</v>
      </c>
      <c r="D385" s="17" t="s">
        <v>277</v>
      </c>
      <c r="E385" s="48">
        <v>162</v>
      </c>
      <c r="F385" s="17" t="s">
        <v>381</v>
      </c>
      <c r="G385" s="247">
        <f>'CDS-C'!B201</f>
        <v>0.20699999999999999</v>
      </c>
      <c r="H385" s="27" t="s">
        <v>453</v>
      </c>
      <c r="I385" s="17" t="s">
        <v>454</v>
      </c>
    </row>
    <row r="386" spans="1:9" x14ac:dyDescent="0.2">
      <c r="A386" s="64" t="s">
        <v>455</v>
      </c>
      <c r="B386" s="257" cm="1">
        <f t="array" aca="1" ref="B386" ca="1">IF(ISBLANK(INDIRECT(MID(_xlfn.FORMULATEXT(G386),2,LEN(_xlfn.FORMULATEXT(G386))-1)))=TRUE,"",C386)</f>
        <v>45</v>
      </c>
      <c r="C386" s="260">
        <f t="shared" ref="C386:C390" si="9">ROUND(TRUNC(G386*100, 1), 1)</f>
        <v>45</v>
      </c>
      <c r="D386" s="17" t="s">
        <v>277</v>
      </c>
      <c r="E386" s="48">
        <v>163</v>
      </c>
      <c r="F386" s="17" t="s">
        <v>381</v>
      </c>
      <c r="G386" s="247">
        <f>'CDS-C'!B202</f>
        <v>0.45</v>
      </c>
      <c r="H386" s="27" t="s">
        <v>453</v>
      </c>
      <c r="I386" s="17" t="s">
        <v>454</v>
      </c>
    </row>
    <row r="387" spans="1:9" x14ac:dyDescent="0.2">
      <c r="A387" s="64" t="s">
        <v>456</v>
      </c>
      <c r="B387" s="257" cm="1">
        <f t="array" aca="1" ref="B387" ca="1">IF(ISBLANK(INDIRECT(MID(_xlfn.FORMULATEXT(G387),2,LEN(_xlfn.FORMULATEXT(G387))-1)))=TRUE,"",C387)</f>
        <v>74.3</v>
      </c>
      <c r="C387" s="260">
        <f t="shared" si="9"/>
        <v>74.3</v>
      </c>
      <c r="D387" s="17" t="s">
        <v>277</v>
      </c>
      <c r="E387" s="48">
        <v>164</v>
      </c>
      <c r="F387" s="17" t="s">
        <v>381</v>
      </c>
      <c r="G387" s="247">
        <f>'CDS-C'!B203</f>
        <v>0.74299999999999999</v>
      </c>
      <c r="H387" s="27" t="s">
        <v>453</v>
      </c>
      <c r="I387" s="17" t="s">
        <v>454</v>
      </c>
    </row>
    <row r="388" spans="1:9" x14ac:dyDescent="0.2">
      <c r="A388" s="64" t="s">
        <v>457</v>
      </c>
      <c r="B388" s="257" cm="1">
        <f t="array" aca="1" ref="B388" ca="1">IF(ISBLANK(INDIRECT(MID(_xlfn.FORMULATEXT(G388),2,LEN(_xlfn.FORMULATEXT(G388))-1)))=TRUE,"",C388)</f>
        <v>25.7</v>
      </c>
      <c r="C388" s="260">
        <f t="shared" si="9"/>
        <v>25.7</v>
      </c>
      <c r="D388" s="17" t="s">
        <v>277</v>
      </c>
      <c r="E388" s="48">
        <v>165</v>
      </c>
      <c r="F388" s="17" t="s">
        <v>381</v>
      </c>
      <c r="G388" s="247">
        <f>'CDS-C'!B204</f>
        <v>0.25700000000000001</v>
      </c>
      <c r="H388" s="27" t="s">
        <v>453</v>
      </c>
      <c r="I388" s="17" t="s">
        <v>454</v>
      </c>
    </row>
    <row r="389" spans="1:9" x14ac:dyDescent="0.2">
      <c r="A389" s="64" t="s">
        <v>458</v>
      </c>
      <c r="B389" s="257" cm="1">
        <f t="array" aca="1" ref="B389" ca="1">IF(ISBLANK(INDIRECT(MID(_xlfn.FORMULATEXT(G389),2,LEN(_xlfn.FORMULATEXT(G389))-1)))=TRUE,"",C389)</f>
        <v>10</v>
      </c>
      <c r="C389" s="260">
        <f t="shared" si="9"/>
        <v>10</v>
      </c>
      <c r="D389" s="17" t="s">
        <v>277</v>
      </c>
      <c r="E389" s="48">
        <v>166</v>
      </c>
      <c r="F389" s="17" t="s">
        <v>381</v>
      </c>
      <c r="G389" s="247">
        <f>'CDS-C'!B205</f>
        <v>0.1</v>
      </c>
      <c r="H389" s="27" t="s">
        <v>453</v>
      </c>
      <c r="I389" s="17" t="s">
        <v>454</v>
      </c>
    </row>
    <row r="390" spans="1:9" x14ac:dyDescent="0.2">
      <c r="A390" s="64" t="s">
        <v>459</v>
      </c>
      <c r="B390" s="257" cm="1">
        <f t="array" aca="1" ref="B390" ca="1">IF(ISBLANK(INDIRECT(MID(_xlfn.FORMULATEXT(G390),2,LEN(_xlfn.FORMULATEXT(G390))-1)))=TRUE,"",C390)</f>
        <v>49.3</v>
      </c>
      <c r="C390" s="260">
        <f t="shared" si="9"/>
        <v>49.3</v>
      </c>
      <c r="D390" s="17" t="s">
        <v>277</v>
      </c>
      <c r="E390" s="48">
        <v>167</v>
      </c>
      <c r="F390" s="17" t="s">
        <v>381</v>
      </c>
      <c r="G390" s="247">
        <f>'CDS-C'!B206</f>
        <v>0.49299999999999999</v>
      </c>
      <c r="H390" s="27" t="s">
        <v>453</v>
      </c>
      <c r="I390" s="17" t="s">
        <v>454</v>
      </c>
    </row>
    <row r="391" spans="1:9" x14ac:dyDescent="0.2">
      <c r="A391" s="44" t="s">
        <v>460</v>
      </c>
      <c r="B391" s="257" cm="1">
        <f t="array" aca="1" ref="B391" ca="1">IF(ISBLANK(INDIRECT(MID(_xlfn.FORMULATEXT(G391),2,LEN(_xlfn.FORMULATEXT(G391))-1)))=TRUE,"",C391)</f>
        <v>15.5</v>
      </c>
      <c r="C391" s="260">
        <f>ROUND(TRUNC(G391*100, 1), 1)</f>
        <v>15.5</v>
      </c>
      <c r="D391" s="17" t="s">
        <v>277</v>
      </c>
      <c r="E391" s="48">
        <v>168</v>
      </c>
      <c r="F391" s="17" t="s">
        <v>381</v>
      </c>
      <c r="G391" s="249">
        <f>'CDS-C'!B218</f>
        <v>0.155</v>
      </c>
      <c r="H391" s="27" t="s">
        <v>461</v>
      </c>
      <c r="I391" s="17" t="s">
        <v>454</v>
      </c>
    </row>
    <row r="392" spans="1:9" ht="17" x14ac:dyDescent="0.2">
      <c r="A392" s="44" t="s">
        <v>462</v>
      </c>
      <c r="B392" s="257" t="str" cm="1">
        <f t="array" aca="1" ref="B392" ca="1">IF(ISBLANK(INDIRECT(MID(_xlfn.FORMULATEXT(G392),2,LEN(_xlfn.FORMULATEXT(G392))-1)))=TRUE,"",C392)</f>
        <v/>
      </c>
      <c r="C392" s="260">
        <f t="shared" ref="C392:C417" si="10">ROUND(TRUNC(G392*100, 1), 1)</f>
        <v>0</v>
      </c>
      <c r="D392" s="17" t="s">
        <v>277</v>
      </c>
      <c r="E392" s="48">
        <v>169</v>
      </c>
      <c r="F392" s="17" t="s">
        <v>381</v>
      </c>
      <c r="G392" s="249">
        <f>'CDS-C'!B219</f>
        <v>0</v>
      </c>
      <c r="H392" s="27" t="s">
        <v>461</v>
      </c>
      <c r="I392" s="17" t="s">
        <v>454</v>
      </c>
    </row>
    <row r="393" spans="1:9" x14ac:dyDescent="0.2">
      <c r="A393" s="44" t="s">
        <v>463</v>
      </c>
      <c r="B393" s="257" cm="1">
        <f t="array" aca="1" ref="B393" ca="1">IF(ISBLANK(INDIRECT(MID(_xlfn.FORMULATEXT(G393),2,LEN(_xlfn.FORMULATEXT(G393))-1)))=TRUE,"",C393)</f>
        <v>5.2</v>
      </c>
      <c r="C393" s="260">
        <f t="shared" si="10"/>
        <v>5.2</v>
      </c>
      <c r="D393" s="17" t="s">
        <v>277</v>
      </c>
      <c r="E393" s="48">
        <v>170</v>
      </c>
      <c r="F393" s="17" t="s">
        <v>381</v>
      </c>
      <c r="G393" s="249">
        <f>'CDS-C'!B220</f>
        <v>5.1999999999999998E-2</v>
      </c>
      <c r="H393" s="27" t="s">
        <v>461</v>
      </c>
      <c r="I393" s="17" t="s">
        <v>454</v>
      </c>
    </row>
    <row r="394" spans="1:9" x14ac:dyDescent="0.2">
      <c r="A394" s="44" t="s">
        <v>464</v>
      </c>
      <c r="B394" s="257" cm="1">
        <f t="array" aca="1" ref="B394" ca="1">IF(ISBLANK(INDIRECT(MID(_xlfn.FORMULATEXT(G394),2,LEN(_xlfn.FORMULATEXT(G394))-1)))=TRUE,"",C394)</f>
        <v>15.5</v>
      </c>
      <c r="C394" s="260">
        <f t="shared" si="10"/>
        <v>15.5</v>
      </c>
      <c r="D394" s="17" t="s">
        <v>277</v>
      </c>
      <c r="E394" s="48">
        <v>171</v>
      </c>
      <c r="F394" s="17" t="s">
        <v>381</v>
      </c>
      <c r="G394" s="249">
        <f>'CDS-C'!B221</f>
        <v>0.155</v>
      </c>
      <c r="H394" s="27" t="s">
        <v>461</v>
      </c>
      <c r="I394" s="17" t="s">
        <v>454</v>
      </c>
    </row>
    <row r="395" spans="1:9" x14ac:dyDescent="0.2">
      <c r="A395" s="44" t="s">
        <v>465</v>
      </c>
      <c r="B395" s="257" cm="1">
        <f t="array" aca="1" ref="B395" ca="1">IF(ISBLANK(INDIRECT(MID(_xlfn.FORMULATEXT(G395),2,LEN(_xlfn.FORMULATEXT(G395))-1)))=TRUE,"",C395)</f>
        <v>8.6</v>
      </c>
      <c r="C395" s="260">
        <f t="shared" si="10"/>
        <v>8.6</v>
      </c>
      <c r="D395" s="17" t="s">
        <v>277</v>
      </c>
      <c r="E395" s="48">
        <v>172</v>
      </c>
      <c r="F395" s="17" t="s">
        <v>381</v>
      </c>
      <c r="G395" s="249">
        <f>'CDS-C'!B222</f>
        <v>8.5999999999999993E-2</v>
      </c>
      <c r="H395" s="27" t="s">
        <v>461</v>
      </c>
      <c r="I395" s="17" t="s">
        <v>454</v>
      </c>
    </row>
    <row r="396" spans="1:9" x14ac:dyDescent="0.2">
      <c r="A396" s="44" t="s">
        <v>466</v>
      </c>
      <c r="B396" s="257" cm="1">
        <f t="array" aca="1" ref="B396" ca="1">IF(ISBLANK(INDIRECT(MID(_xlfn.FORMULATEXT(G396),2,LEN(_xlfn.FORMULATEXT(G396))-1)))=TRUE,"",C396)</f>
        <v>6.9</v>
      </c>
      <c r="C396" s="260">
        <f t="shared" si="10"/>
        <v>6.9</v>
      </c>
      <c r="D396" s="17" t="s">
        <v>277</v>
      </c>
      <c r="E396" s="48">
        <v>173</v>
      </c>
      <c r="F396" s="17" t="s">
        <v>381</v>
      </c>
      <c r="G396" s="249">
        <f>'CDS-C'!B223</f>
        <v>6.9000000000000006E-2</v>
      </c>
      <c r="H396" s="27" t="s">
        <v>461</v>
      </c>
      <c r="I396" s="17" t="s">
        <v>454</v>
      </c>
    </row>
    <row r="397" spans="1:9" x14ac:dyDescent="0.2">
      <c r="A397" s="44" t="s">
        <v>467</v>
      </c>
      <c r="B397" s="257" cm="1">
        <f t="array" aca="1" ref="B397" ca="1">IF(ISBLANK(INDIRECT(MID(_xlfn.FORMULATEXT(G397),2,LEN(_xlfn.FORMULATEXT(G397))-1)))=TRUE,"",C397)</f>
        <v>19</v>
      </c>
      <c r="C397" s="260">
        <f t="shared" si="10"/>
        <v>19</v>
      </c>
      <c r="D397" s="17" t="s">
        <v>277</v>
      </c>
      <c r="E397" s="48">
        <v>174</v>
      </c>
      <c r="F397" s="17" t="s">
        <v>381</v>
      </c>
      <c r="G397" s="249">
        <f>'CDS-C'!B224</f>
        <v>0.19</v>
      </c>
      <c r="H397" s="27" t="s">
        <v>461</v>
      </c>
      <c r="I397" s="17" t="s">
        <v>454</v>
      </c>
    </row>
    <row r="398" spans="1:9" x14ac:dyDescent="0.2">
      <c r="A398" s="44" t="s">
        <v>468</v>
      </c>
      <c r="B398" s="257" cm="1">
        <f t="array" aca="1" ref="B398" ca="1">IF(ISBLANK(INDIRECT(MID(_xlfn.FORMULATEXT(G398),2,LEN(_xlfn.FORMULATEXT(G398))-1)))=TRUE,"",C398)</f>
        <v>24.1</v>
      </c>
      <c r="C398" s="260">
        <f t="shared" si="10"/>
        <v>24.1</v>
      </c>
      <c r="D398" s="17" t="s">
        <v>277</v>
      </c>
      <c r="E398" s="48">
        <v>175</v>
      </c>
      <c r="F398" s="17" t="s">
        <v>381</v>
      </c>
      <c r="G398" s="249">
        <f>'CDS-C'!B225</f>
        <v>0.24099999999999999</v>
      </c>
      <c r="H398" s="27" t="s">
        <v>461</v>
      </c>
      <c r="I398" s="17" t="s">
        <v>454</v>
      </c>
    </row>
    <row r="399" spans="1:9" x14ac:dyDescent="0.2">
      <c r="A399" s="44" t="s">
        <v>469</v>
      </c>
      <c r="B399" s="257" cm="1">
        <f t="array" aca="1" ref="B399" ca="1">IF(ISBLANK(INDIRECT(MID(_xlfn.FORMULATEXT(G399),2,LEN(_xlfn.FORMULATEXT(G399))-1)))=TRUE,"",C399)</f>
        <v>5.2</v>
      </c>
      <c r="C399" s="260">
        <f t="shared" si="10"/>
        <v>5.2</v>
      </c>
      <c r="D399" s="17" t="s">
        <v>277</v>
      </c>
      <c r="E399" s="48">
        <v>176</v>
      </c>
      <c r="F399" s="17" t="s">
        <v>381</v>
      </c>
      <c r="G399" s="249">
        <f>'CDS-C'!B226</f>
        <v>5.1999999999999998E-2</v>
      </c>
      <c r="H399" s="27" t="s">
        <v>461</v>
      </c>
      <c r="I399" s="17" t="s">
        <v>454</v>
      </c>
    </row>
    <row r="400" spans="1:9" x14ac:dyDescent="0.2">
      <c r="A400" s="44" t="s">
        <v>470</v>
      </c>
      <c r="B400" s="257" cm="1">
        <f t="array" aca="1" ref="B400" ca="1">IF(ISBLANK(INDIRECT(MID(_xlfn.FORMULATEXT(G400),2,LEN(_xlfn.FORMULATEXT(G400))-1)))=TRUE,"",C400)</f>
        <v>8.1999999999999993</v>
      </c>
      <c r="C400" s="260">
        <f t="shared" si="10"/>
        <v>8.1999999999999993</v>
      </c>
      <c r="D400" s="17" t="s">
        <v>277</v>
      </c>
      <c r="E400" s="48">
        <v>177</v>
      </c>
      <c r="F400" s="17" t="s">
        <v>381</v>
      </c>
      <c r="G400" s="249">
        <f>'CDS-C'!C218</f>
        <v>8.2000000000000003E-2</v>
      </c>
      <c r="H400" s="27" t="s">
        <v>461</v>
      </c>
      <c r="I400" s="17" t="s">
        <v>454</v>
      </c>
    </row>
    <row r="401" spans="1:9" x14ac:dyDescent="0.2">
      <c r="A401" s="44" t="s">
        <v>471</v>
      </c>
      <c r="B401" s="257" cm="1">
        <f t="array" aca="1" ref="B401" ca="1">IF(ISBLANK(INDIRECT(MID(_xlfn.FORMULATEXT(G401),2,LEN(_xlfn.FORMULATEXT(G401))-1)))=TRUE,"",C401)</f>
        <v>0.4</v>
      </c>
      <c r="C401" s="260">
        <f t="shared" si="10"/>
        <v>0.4</v>
      </c>
      <c r="D401" s="17" t="s">
        <v>277</v>
      </c>
      <c r="E401" s="48">
        <v>178</v>
      </c>
      <c r="F401" s="17" t="s">
        <v>381</v>
      </c>
      <c r="G401" s="249">
        <f>'CDS-C'!C219</f>
        <v>4.0000000000000001E-3</v>
      </c>
      <c r="H401" s="27" t="s">
        <v>461</v>
      </c>
      <c r="I401" s="17" t="s">
        <v>454</v>
      </c>
    </row>
    <row r="402" spans="1:9" x14ac:dyDescent="0.2">
      <c r="A402" s="44" t="s">
        <v>472</v>
      </c>
      <c r="B402" s="257" cm="1">
        <f t="array" aca="1" ref="B402" ca="1">IF(ISBLANK(INDIRECT(MID(_xlfn.FORMULATEXT(G402),2,LEN(_xlfn.FORMULATEXT(G402))-1)))=TRUE,"",C402)</f>
        <v>6</v>
      </c>
      <c r="C402" s="260">
        <f t="shared" si="10"/>
        <v>6</v>
      </c>
      <c r="D402" s="17" t="s">
        <v>277</v>
      </c>
      <c r="E402" s="48">
        <v>179</v>
      </c>
      <c r="F402" s="17" t="s">
        <v>381</v>
      </c>
      <c r="G402" s="249">
        <f>'CDS-C'!C220</f>
        <v>0.06</v>
      </c>
      <c r="H402" s="27" t="s">
        <v>461</v>
      </c>
      <c r="I402" s="17" t="s">
        <v>454</v>
      </c>
    </row>
    <row r="403" spans="1:9" x14ac:dyDescent="0.2">
      <c r="A403" s="44" t="s">
        <v>473</v>
      </c>
      <c r="B403" s="257" cm="1">
        <f t="array" aca="1" ref="B403" ca="1">IF(ISBLANK(INDIRECT(MID(_xlfn.FORMULATEXT(G403),2,LEN(_xlfn.FORMULATEXT(G403))-1)))=TRUE,"",C403)</f>
        <v>14.6</v>
      </c>
      <c r="C403" s="260">
        <f t="shared" si="10"/>
        <v>14.6</v>
      </c>
      <c r="D403" s="17" t="s">
        <v>277</v>
      </c>
      <c r="E403" s="48">
        <v>180</v>
      </c>
      <c r="F403" s="17" t="s">
        <v>381</v>
      </c>
      <c r="G403" s="249">
        <f>'CDS-C'!C221</f>
        <v>0.14599999999999999</v>
      </c>
      <c r="H403" s="27" t="s">
        <v>461</v>
      </c>
      <c r="I403" s="17" t="s">
        <v>454</v>
      </c>
    </row>
    <row r="404" spans="1:9" x14ac:dyDescent="0.2">
      <c r="A404" s="44" t="s">
        <v>474</v>
      </c>
      <c r="B404" s="257" cm="1">
        <f t="array" aca="1" ref="B404" ca="1">IF(ISBLANK(INDIRECT(MID(_xlfn.FORMULATEXT(G404),2,LEN(_xlfn.FORMULATEXT(G404))-1)))=TRUE,"",C404)</f>
        <v>11.2</v>
      </c>
      <c r="C404" s="260">
        <f t="shared" si="10"/>
        <v>11.2</v>
      </c>
      <c r="D404" s="17" t="s">
        <v>277</v>
      </c>
      <c r="E404" s="48">
        <v>181</v>
      </c>
      <c r="F404" s="17" t="s">
        <v>381</v>
      </c>
      <c r="G404" s="249">
        <f>'CDS-C'!C222</f>
        <v>0.112</v>
      </c>
      <c r="H404" s="27" t="s">
        <v>461</v>
      </c>
      <c r="I404" s="17" t="s">
        <v>454</v>
      </c>
    </row>
    <row r="405" spans="1:9" x14ac:dyDescent="0.2">
      <c r="A405" s="44" t="s">
        <v>475</v>
      </c>
      <c r="B405" s="257" cm="1">
        <f t="array" aca="1" ref="B405" ca="1">IF(ISBLANK(INDIRECT(MID(_xlfn.FORMULATEXT(G405),2,LEN(_xlfn.FORMULATEXT(G405))-1)))=TRUE,"",C405)</f>
        <v>11.6</v>
      </c>
      <c r="C405" s="260">
        <f t="shared" si="10"/>
        <v>11.6</v>
      </c>
      <c r="D405" s="17" t="s">
        <v>277</v>
      </c>
      <c r="E405" s="48">
        <v>182</v>
      </c>
      <c r="F405" s="17" t="s">
        <v>381</v>
      </c>
      <c r="G405" s="249">
        <f>'CDS-C'!C223</f>
        <v>0.11600000000000001</v>
      </c>
      <c r="H405" s="27" t="s">
        <v>461</v>
      </c>
      <c r="I405" s="17" t="s">
        <v>454</v>
      </c>
    </row>
    <row r="406" spans="1:9" x14ac:dyDescent="0.2">
      <c r="A406" s="44" t="s">
        <v>476</v>
      </c>
      <c r="B406" s="257" cm="1">
        <f t="array" aca="1" ref="B406" ca="1">IF(ISBLANK(INDIRECT(MID(_xlfn.FORMULATEXT(G406),2,LEN(_xlfn.FORMULATEXT(G406))-1)))=TRUE,"",C406)</f>
        <v>18.7</v>
      </c>
      <c r="C406" s="260">
        <f t="shared" si="10"/>
        <v>18.7</v>
      </c>
      <c r="D406" s="17" t="s">
        <v>277</v>
      </c>
      <c r="E406" s="48">
        <v>183</v>
      </c>
      <c r="F406" s="17" t="s">
        <v>381</v>
      </c>
      <c r="G406" s="249">
        <f>'CDS-C'!C224</f>
        <v>0.187</v>
      </c>
      <c r="H406" s="27" t="s">
        <v>461</v>
      </c>
      <c r="I406" s="17" t="s">
        <v>454</v>
      </c>
    </row>
    <row r="407" spans="1:9" x14ac:dyDescent="0.2">
      <c r="A407" s="44" t="s">
        <v>477</v>
      </c>
      <c r="B407" s="257" cm="1">
        <f t="array" aca="1" ref="B407" ca="1">IF(ISBLANK(INDIRECT(MID(_xlfn.FORMULATEXT(G407),2,LEN(_xlfn.FORMULATEXT(G407))-1)))=TRUE,"",C407)</f>
        <v>25.5</v>
      </c>
      <c r="C407" s="260">
        <f t="shared" si="10"/>
        <v>25.5</v>
      </c>
      <c r="D407" s="17" t="s">
        <v>277</v>
      </c>
      <c r="E407" s="48">
        <v>184</v>
      </c>
      <c r="F407" s="17" t="s">
        <v>381</v>
      </c>
      <c r="G407" s="249">
        <f>'CDS-C'!C225</f>
        <v>0.255</v>
      </c>
      <c r="H407" s="27" t="s">
        <v>461</v>
      </c>
      <c r="I407" s="17" t="s">
        <v>454</v>
      </c>
    </row>
    <row r="408" spans="1:9" x14ac:dyDescent="0.2">
      <c r="A408" s="44" t="s">
        <v>478</v>
      </c>
      <c r="B408" s="257" cm="1">
        <f t="array" aca="1" ref="B408" ca="1">IF(ISBLANK(INDIRECT(MID(_xlfn.FORMULATEXT(G408),2,LEN(_xlfn.FORMULATEXT(G408))-1)))=TRUE,"",C408)</f>
        <v>3.7</v>
      </c>
      <c r="C408" s="260">
        <f t="shared" si="10"/>
        <v>3.7</v>
      </c>
      <c r="D408" s="17" t="s">
        <v>277</v>
      </c>
      <c r="E408" s="48">
        <v>185</v>
      </c>
      <c r="F408" s="17" t="s">
        <v>381</v>
      </c>
      <c r="G408" s="249">
        <f>'CDS-C'!C226</f>
        <v>3.6999999999999998E-2</v>
      </c>
      <c r="H408" s="27" t="s">
        <v>461</v>
      </c>
      <c r="I408" s="17" t="s">
        <v>454</v>
      </c>
    </row>
    <row r="409" spans="1:9" ht="17" x14ac:dyDescent="0.2">
      <c r="A409" s="64" t="s">
        <v>479</v>
      </c>
      <c r="B409" s="257" t="str" cm="1">
        <f t="array" aca="1" ref="B409" ca="1">IF(ISBLANK(INDIRECT(MID(_xlfn.FORMULATEXT(G409),2,LEN(_xlfn.FORMULATEXT(G409))-1)))=TRUE,"",C409)</f>
        <v/>
      </c>
      <c r="C409" s="260">
        <f t="shared" si="10"/>
        <v>0</v>
      </c>
      <c r="D409" s="17" t="s">
        <v>277</v>
      </c>
      <c r="E409" s="48">
        <v>186</v>
      </c>
      <c r="F409" s="17" t="s">
        <v>381</v>
      </c>
      <c r="G409" s="250">
        <f>'CDS-C'!D218</f>
        <v>0</v>
      </c>
      <c r="H409" s="27"/>
    </row>
    <row r="410" spans="1:9" ht="17" x14ac:dyDescent="0.2">
      <c r="A410" s="64" t="s">
        <v>480</v>
      </c>
      <c r="B410" s="257" t="str" cm="1">
        <f t="array" aca="1" ref="B410" ca="1">IF(ISBLANK(INDIRECT(MID(_xlfn.FORMULATEXT(G410),2,LEN(_xlfn.FORMULATEXT(G410))-1)))=TRUE,"",C410)</f>
        <v/>
      </c>
      <c r="C410" s="260">
        <f t="shared" si="10"/>
        <v>0</v>
      </c>
      <c r="D410" s="17" t="s">
        <v>277</v>
      </c>
      <c r="E410" s="48">
        <v>187</v>
      </c>
      <c r="F410" s="17" t="s">
        <v>381</v>
      </c>
      <c r="G410" s="250">
        <f>'CDS-C'!D219</f>
        <v>0</v>
      </c>
      <c r="H410" s="27"/>
    </row>
    <row r="411" spans="1:9" ht="17" x14ac:dyDescent="0.2">
      <c r="A411" s="64" t="s">
        <v>481</v>
      </c>
      <c r="B411" s="257" t="str" cm="1">
        <f t="array" aca="1" ref="B411" ca="1">IF(ISBLANK(INDIRECT(MID(_xlfn.FORMULATEXT(G411),2,LEN(_xlfn.FORMULATEXT(G411))-1)))=TRUE,"",C411)</f>
        <v/>
      </c>
      <c r="C411" s="260">
        <f t="shared" si="10"/>
        <v>0</v>
      </c>
      <c r="D411" s="17" t="s">
        <v>277</v>
      </c>
      <c r="E411" s="48">
        <v>188</v>
      </c>
      <c r="F411" s="17" t="s">
        <v>381</v>
      </c>
      <c r="G411" s="250">
        <f>'CDS-C'!D220</f>
        <v>0</v>
      </c>
      <c r="H411" s="27"/>
    </row>
    <row r="412" spans="1:9" ht="17" x14ac:dyDescent="0.2">
      <c r="A412" s="64" t="s">
        <v>482</v>
      </c>
      <c r="B412" s="257" t="str" cm="1">
        <f t="array" aca="1" ref="B412" ca="1">IF(ISBLANK(INDIRECT(MID(_xlfn.FORMULATEXT(G412),2,LEN(_xlfn.FORMULATEXT(G412))-1)))=TRUE,"",C412)</f>
        <v/>
      </c>
      <c r="C412" s="260">
        <f t="shared" si="10"/>
        <v>0</v>
      </c>
      <c r="D412" s="17" t="s">
        <v>277</v>
      </c>
      <c r="E412" s="48">
        <v>189</v>
      </c>
      <c r="F412" s="17" t="s">
        <v>381</v>
      </c>
      <c r="G412" s="250">
        <f>'CDS-C'!D221</f>
        <v>0</v>
      </c>
      <c r="H412" s="27"/>
    </row>
    <row r="413" spans="1:9" ht="17" x14ac:dyDescent="0.2">
      <c r="A413" s="64" t="s">
        <v>483</v>
      </c>
      <c r="B413" s="257" t="str" cm="1">
        <f t="array" aca="1" ref="B413" ca="1">IF(ISBLANK(INDIRECT(MID(_xlfn.FORMULATEXT(G413),2,LEN(_xlfn.FORMULATEXT(G413))-1)))=TRUE,"",C413)</f>
        <v/>
      </c>
      <c r="C413" s="260">
        <f t="shared" si="10"/>
        <v>0</v>
      </c>
      <c r="D413" s="17" t="s">
        <v>277</v>
      </c>
      <c r="E413" s="48">
        <v>190</v>
      </c>
      <c r="F413" s="17" t="s">
        <v>381</v>
      </c>
      <c r="G413" s="250">
        <f>'CDS-C'!D222</f>
        <v>0</v>
      </c>
      <c r="H413" s="27"/>
    </row>
    <row r="414" spans="1:9" ht="17" x14ac:dyDescent="0.2">
      <c r="A414" s="64" t="s">
        <v>484</v>
      </c>
      <c r="B414" s="257" t="str" cm="1">
        <f t="array" aca="1" ref="B414" ca="1">IF(ISBLANK(INDIRECT(MID(_xlfn.FORMULATEXT(G414),2,LEN(_xlfn.FORMULATEXT(G414))-1)))=TRUE,"",C414)</f>
        <v/>
      </c>
      <c r="C414" s="260">
        <f t="shared" si="10"/>
        <v>0</v>
      </c>
      <c r="D414" s="17" t="s">
        <v>277</v>
      </c>
      <c r="E414" s="48">
        <v>191</v>
      </c>
      <c r="F414" s="17" t="s">
        <v>381</v>
      </c>
      <c r="G414" s="250">
        <f>'CDS-C'!D223</f>
        <v>0</v>
      </c>
      <c r="H414" s="27"/>
    </row>
    <row r="415" spans="1:9" ht="17" x14ac:dyDescent="0.2">
      <c r="A415" s="64" t="s">
        <v>485</v>
      </c>
      <c r="B415" s="257" t="str" cm="1">
        <f t="array" aca="1" ref="B415" ca="1">IF(ISBLANK(INDIRECT(MID(_xlfn.FORMULATEXT(G415),2,LEN(_xlfn.FORMULATEXT(G415))-1)))=TRUE,"",C415)</f>
        <v/>
      </c>
      <c r="C415" s="260">
        <f t="shared" si="10"/>
        <v>0</v>
      </c>
      <c r="D415" s="17" t="s">
        <v>277</v>
      </c>
      <c r="E415" s="48">
        <v>192</v>
      </c>
      <c r="F415" s="17" t="s">
        <v>381</v>
      </c>
      <c r="G415" s="250">
        <f>'CDS-C'!D224</f>
        <v>0</v>
      </c>
    </row>
    <row r="416" spans="1:9" ht="17" x14ac:dyDescent="0.2">
      <c r="A416" s="64" t="s">
        <v>486</v>
      </c>
      <c r="B416" s="257" t="str" cm="1">
        <f t="array" aca="1" ref="B416" ca="1">IF(ISBLANK(INDIRECT(MID(_xlfn.FORMULATEXT(G416),2,LEN(_xlfn.FORMULATEXT(G416))-1)))=TRUE,"",C416)</f>
        <v/>
      </c>
      <c r="C416" s="260">
        <f t="shared" si="10"/>
        <v>0</v>
      </c>
      <c r="D416" s="17" t="s">
        <v>277</v>
      </c>
      <c r="E416" s="48">
        <v>193</v>
      </c>
      <c r="F416" s="17" t="s">
        <v>381</v>
      </c>
      <c r="G416" s="250">
        <f>'CDS-C'!D225</f>
        <v>0</v>
      </c>
    </row>
    <row r="417" spans="1:8" ht="17" x14ac:dyDescent="0.2">
      <c r="A417" s="64" t="s">
        <v>487</v>
      </c>
      <c r="B417" s="257" t="str" cm="1">
        <f t="array" aca="1" ref="B417" ca="1">IF(ISBLANK(INDIRECT(MID(_xlfn.FORMULATEXT(G417),2,LEN(_xlfn.FORMULATEXT(G417))-1)))=TRUE,"",C417)</f>
        <v/>
      </c>
      <c r="C417" s="260">
        <f t="shared" si="10"/>
        <v>0</v>
      </c>
      <c r="D417" s="17" t="s">
        <v>277</v>
      </c>
      <c r="E417" s="48">
        <v>194</v>
      </c>
      <c r="F417" s="17" t="s">
        <v>381</v>
      </c>
      <c r="G417" s="250">
        <f>'CDS-C'!D226</f>
        <v>0</v>
      </c>
      <c r="H417" s="27"/>
    </row>
    <row r="418" spans="1:8" x14ac:dyDescent="0.2">
      <c r="A418" s="44" t="s">
        <v>488</v>
      </c>
      <c r="B418" s="257" cm="1">
        <f t="array" aca="1" ref="B418" ca="1">IF(ISBLANK(INDIRECT(MID(_xlfn.FORMULATEXT(C418),2,LEN(_xlfn.FORMULATEXT(C418))-1)))=TRUE,"",C418)</f>
        <v>3.4</v>
      </c>
      <c r="C418" s="65">
        <f>'CDS-C'!D237</f>
        <v>3.4</v>
      </c>
      <c r="D418" s="17" t="s">
        <v>277</v>
      </c>
      <c r="E418" s="48">
        <v>195</v>
      </c>
      <c r="F418" s="17" t="s">
        <v>14</v>
      </c>
      <c r="G418" s="17"/>
      <c r="H418" s="28"/>
    </row>
    <row r="419" spans="1:8" x14ac:dyDescent="0.2">
      <c r="A419" s="44" t="s">
        <v>489</v>
      </c>
      <c r="B419" s="257" cm="1">
        <f t="array" aca="1" ref="B419" ca="1">IF(ISBLANK(INDIRECT(MID(_xlfn.FORMULATEXT(C419),2,LEN(_xlfn.FORMULATEXT(C419))-1)))=TRUE,"",C419)</f>
        <v>94</v>
      </c>
      <c r="C419" s="262">
        <f>ROUND(TRUNC(G419*100, 1), 1)</f>
        <v>94</v>
      </c>
      <c r="D419" s="17" t="s">
        <v>277</v>
      </c>
      <c r="E419" s="48">
        <v>196</v>
      </c>
      <c r="F419" s="17" t="s">
        <v>381</v>
      </c>
      <c r="G419" s="250">
        <f>'CDS-C'!D239</f>
        <v>0.94</v>
      </c>
      <c r="H419" s="100"/>
    </row>
    <row r="420" spans="1:8" ht="17" x14ac:dyDescent="0.2">
      <c r="A420" s="64" t="s">
        <v>490</v>
      </c>
      <c r="B420" s="257" t="str" cm="1">
        <f t="array" aca="1" ref="B420" ca="1">IF(ISBLANK(INDIRECT(MID(_xlfn.FORMULATEXT(C420),2,LEN(_xlfn.FORMULATEXT(C420))-1)))=TRUE,"",C420)</f>
        <v>No</v>
      </c>
      <c r="C420" s="65" t="str">
        <f>'CDS-C'!B248</f>
        <v>No</v>
      </c>
      <c r="D420" s="17" t="s">
        <v>277</v>
      </c>
      <c r="E420" s="48">
        <v>197</v>
      </c>
      <c r="F420" s="17" t="s">
        <v>21</v>
      </c>
      <c r="G420" s="17"/>
      <c r="H420" s="27"/>
    </row>
    <row r="421" spans="1:8" ht="17" x14ac:dyDescent="0.2">
      <c r="A421" s="64" t="s">
        <v>491</v>
      </c>
      <c r="B421" s="257" t="str" cm="1">
        <f t="array" aca="1" ref="B421" ca="1">IF(ISBLANK(INDIRECT(MID(_xlfn.FORMULATEXT(C421),2,LEN(_xlfn.FORMULATEXT(C421))-1)))=TRUE,"",C421)</f>
        <v/>
      </c>
      <c r="C421" s="263">
        <f>'CDS-C'!B251</f>
        <v>0</v>
      </c>
      <c r="D421" s="17" t="s">
        <v>277</v>
      </c>
      <c r="E421" s="48">
        <v>198</v>
      </c>
      <c r="F421" s="17" t="s">
        <v>492</v>
      </c>
      <c r="G421" s="17"/>
      <c r="H421" s="27"/>
    </row>
    <row r="422" spans="1:8" ht="17" x14ac:dyDescent="0.2">
      <c r="A422" s="64" t="s">
        <v>493</v>
      </c>
      <c r="B422" s="257" t="str" cm="1">
        <f t="array" aca="1" ref="B422" ca="1">IF(ISBLANK(INDIRECT(MID(_xlfn.FORMULATEXT(C422),2,LEN(_xlfn.FORMULATEXT(C422))-1)))=TRUE,"",C422)</f>
        <v/>
      </c>
      <c r="C422" s="65">
        <f>'CDS-C'!B253</f>
        <v>0</v>
      </c>
      <c r="D422" s="17" t="s">
        <v>277</v>
      </c>
      <c r="E422" s="48">
        <v>199</v>
      </c>
      <c r="F422" s="17" t="s">
        <v>21</v>
      </c>
      <c r="G422" s="17"/>
      <c r="H422" s="27"/>
    </row>
    <row r="423" spans="1:8" ht="17" x14ac:dyDescent="0.2">
      <c r="A423" s="64" t="s">
        <v>494</v>
      </c>
      <c r="B423" s="257" t="str" cm="1">
        <f t="array" aca="1" ref="B423" ca="1">IF(ISBLANK(INDIRECT(MID(_xlfn.FORMULATEXT(C423),2,LEN(_xlfn.FORMULATEXT(C423))-1)))=TRUE,"",C423)</f>
        <v/>
      </c>
      <c r="C423" s="65">
        <f>'CDS-C'!B255</f>
        <v>0</v>
      </c>
      <c r="D423" s="17" t="s">
        <v>277</v>
      </c>
      <c r="E423" s="48">
        <v>200</v>
      </c>
      <c r="F423" s="17" t="s">
        <v>21</v>
      </c>
      <c r="G423" s="17"/>
      <c r="H423" s="27"/>
    </row>
    <row r="424" spans="1:8" ht="17" x14ac:dyDescent="0.2">
      <c r="A424" s="64" t="s">
        <v>495</v>
      </c>
      <c r="B424" s="257" t="str" cm="1">
        <f t="array" aca="1" ref="B424" ca="1">IF(ISBLANK(INDIRECT(MID(_xlfn.FORMULATEXT(C424),2,LEN(_xlfn.FORMULATEXT(C424))-1)))=TRUE,"",C424)</f>
        <v/>
      </c>
      <c r="C424" s="65">
        <f>'CDS-C'!B257</f>
        <v>0</v>
      </c>
      <c r="D424" s="17" t="s">
        <v>277</v>
      </c>
      <c r="E424" s="48">
        <v>201</v>
      </c>
      <c r="F424" s="17" t="s">
        <v>21</v>
      </c>
      <c r="G424" s="17"/>
      <c r="H424" s="27"/>
    </row>
    <row r="425" spans="1:8" ht="17" x14ac:dyDescent="0.2">
      <c r="A425" s="64" t="s">
        <v>496</v>
      </c>
      <c r="B425" s="257" t="str" cm="1">
        <f t="array" aca="1" ref="B425" ca="1">IF(ISBLANK(INDIRECT(MID(_xlfn.FORMULATEXT(C425),2,LEN(_xlfn.FORMULATEXT(C425))-1)))=TRUE,"",C425)</f>
        <v>Yes</v>
      </c>
      <c r="C425" s="65" t="str">
        <f>'CDS-C'!B262</f>
        <v>Yes</v>
      </c>
      <c r="D425" s="17" t="s">
        <v>277</v>
      </c>
      <c r="E425" s="48">
        <v>202</v>
      </c>
      <c r="F425" s="17" t="s">
        <v>21</v>
      </c>
      <c r="G425" s="17"/>
      <c r="H425" s="27"/>
    </row>
    <row r="426" spans="1:8" ht="17" x14ac:dyDescent="0.2">
      <c r="A426" s="64" t="s">
        <v>497</v>
      </c>
      <c r="B426" s="257" t="str" cm="1">
        <f t="array" aca="1" ref="B426" ca="1">IF(ISBLANK(INDIRECT(MID(_xlfn.FORMULATEXT(C426),2,LEN(_xlfn.FORMULATEXT(C426))-1)))=TRUE,"",C426)</f>
        <v>02/15</v>
      </c>
      <c r="C426" s="155" t="str" cm="1">
        <f t="array" aca="1" ref="C426" ca="1">IF(AND(ISNUMBER(CELL("contents",G426)),(G426&gt;0)),TEXT(G426,"MM/DD"),"")</f>
        <v>02/15</v>
      </c>
      <c r="D426" s="17" t="s">
        <v>277</v>
      </c>
      <c r="E426" s="48">
        <v>203</v>
      </c>
      <c r="F426" s="17" t="s">
        <v>375</v>
      </c>
      <c r="G426" s="156">
        <f>'CDS-C'!B267</f>
        <v>45337</v>
      </c>
      <c r="H426" s="27"/>
    </row>
    <row r="427" spans="1:8" ht="17" x14ac:dyDescent="0.2">
      <c r="A427" s="64" t="s">
        <v>498</v>
      </c>
      <c r="B427" s="257" t="str" cm="1">
        <f t="array" aca="1" ref="B427" ca="1">IF(ISBLANK(INDIRECT(MID(_xlfn.FORMULATEXT(C427),2,LEN(_xlfn.FORMULATEXT(C427))-1)))=TRUE,"",C427)</f>
        <v/>
      </c>
      <c r="C427" s="155" t="str" cm="1">
        <f t="array" aca="1" ref="C427" ca="1">IF(AND(ISNUMBER(CELL("contents",G427)),(G427&gt;0)),TEXT(G427,"MM/DD"),"")</f>
        <v/>
      </c>
      <c r="D427" s="17" t="s">
        <v>277</v>
      </c>
      <c r="E427" s="48">
        <v>204</v>
      </c>
      <c r="F427" s="17" t="s">
        <v>375</v>
      </c>
      <c r="G427" s="156">
        <f>'CDS-C'!B268</f>
        <v>0</v>
      </c>
      <c r="H427" s="27"/>
    </row>
    <row r="428" spans="1:8" ht="17" x14ac:dyDescent="0.2">
      <c r="A428" s="64" t="s">
        <v>499</v>
      </c>
      <c r="B428" s="257" t="str" cm="1">
        <f t="array" aca="1" ref="B428" ca="1">IF(ISBLANK(INDIRECT(MID(_xlfn.FORMULATEXT(C428),2,LEN(_xlfn.FORMULATEXT(C428))-1)))=TRUE,"",C428)</f>
        <v>Yes</v>
      </c>
      <c r="C428" s="65" t="str">
        <f>'CDS-C'!B273</f>
        <v>Yes</v>
      </c>
      <c r="D428" s="17" t="s">
        <v>277</v>
      </c>
      <c r="E428" s="48">
        <v>205</v>
      </c>
      <c r="F428" s="17" t="s">
        <v>21</v>
      </c>
      <c r="G428" s="17"/>
      <c r="H428" s="27"/>
    </row>
    <row r="429" spans="1:8" ht="17" x14ac:dyDescent="0.2">
      <c r="A429" s="64" t="s">
        <v>500</v>
      </c>
      <c r="B429" s="257" t="str" cm="1">
        <f t="array" aca="1" ref="B429" ca="1">IF(ISBLANK(INDIRECT(MID(_xlfn.FORMULATEXT(C429),2,LEN(_xlfn.FORMULATEXT(C429))-1)))=TRUE,"",C429)</f>
        <v>No</v>
      </c>
      <c r="C429" s="65" t="str">
        <f>'CDS-C'!C277</f>
        <v>No</v>
      </c>
      <c r="D429" s="17" t="s">
        <v>277</v>
      </c>
      <c r="E429" s="48">
        <v>206</v>
      </c>
      <c r="F429" s="17" t="s">
        <v>21</v>
      </c>
      <c r="G429" s="17"/>
      <c r="H429" s="27"/>
    </row>
    <row r="430" spans="1:8" ht="17" x14ac:dyDescent="0.2">
      <c r="A430" s="64" t="s">
        <v>501</v>
      </c>
      <c r="B430" s="257" t="str" cm="1">
        <f t="array" aca="1" ref="B430" ca="1">IF(ISBLANK(INDIRECT(MID(_xlfn.FORMULATEXT(C430),2,LEN(_xlfn.FORMULATEXT(C430))-1)))=TRUE,"",C430)</f>
        <v/>
      </c>
      <c r="C430" s="155" t="str" cm="1">
        <f t="array" aca="1" ref="C430" ca="1">IF(AND(ISNUMBER(CELL("contents",G430)),(G430&gt;0)),TEXT(G430,"MM/DD"),"")</f>
        <v/>
      </c>
      <c r="D430" s="17" t="s">
        <v>277</v>
      </c>
      <c r="E430" s="48">
        <v>207</v>
      </c>
      <c r="F430" s="17" t="s">
        <v>375</v>
      </c>
      <c r="G430" s="156">
        <f>'CDS-C'!C279</f>
        <v>0</v>
      </c>
      <c r="H430" s="27"/>
    </row>
    <row r="431" spans="1:8" ht="17" x14ac:dyDescent="0.2">
      <c r="A431" s="64" t="s">
        <v>502</v>
      </c>
      <c r="B431" s="257" t="str" cm="1">
        <f t="array" aca="1" ref="B431" ca="1">IF(ISBLANK(INDIRECT(MID(_xlfn.FORMULATEXT(C431),2,LEN(_xlfn.FORMULATEXT(C431))-1)))=TRUE,"",C431)</f>
        <v>03/15</v>
      </c>
      <c r="C431" s="155" t="str" cm="1">
        <f t="array" aca="1" ref="C431" ca="1">IF(AND(ISNUMBER(CELL("contents",G431)),(G431&gt;0)),TEXT(G431,"MM/DD"),"")</f>
        <v>03/15</v>
      </c>
      <c r="D431" s="17" t="s">
        <v>277</v>
      </c>
      <c r="E431" s="48">
        <v>208</v>
      </c>
      <c r="F431" s="17" t="s">
        <v>375</v>
      </c>
      <c r="G431" s="156">
        <f>'CDS-C'!D281</f>
        <v>45366</v>
      </c>
    </row>
    <row r="432" spans="1:8" ht="17" x14ac:dyDescent="0.2">
      <c r="A432" s="64" t="s">
        <v>503</v>
      </c>
      <c r="B432" s="257" t="str" cm="1">
        <f t="array" aca="1" ref="B432" ca="1">IF(ISBLANK(INDIRECT(MID(_xlfn.FORMULATEXT(C432),2,LEN(_xlfn.FORMULATEXT(C432))-1)))=TRUE,"",C432)</f>
        <v>Must reply by set date</v>
      </c>
      <c r="C432" s="65" t="str">
        <f>'CDS-C'!A287</f>
        <v>Must reply by set date</v>
      </c>
      <c r="D432" s="17" t="s">
        <v>277</v>
      </c>
      <c r="E432" s="48">
        <v>209</v>
      </c>
      <c r="F432" s="17" t="s">
        <v>21</v>
      </c>
      <c r="G432" s="17"/>
    </row>
    <row r="433" spans="1:8" ht="17" x14ac:dyDescent="0.2">
      <c r="A433" s="64" t="s">
        <v>504</v>
      </c>
      <c r="B433" s="257" t="str" cm="1">
        <f t="array" aca="1" ref="B433" ca="1">IF(ISBLANK(INDIRECT(MID(_xlfn.FORMULATEXT(C433),2,LEN(_xlfn.FORMULATEXT(C433))-1)))=TRUE,"",C433)</f>
        <v>05/01</v>
      </c>
      <c r="C433" s="155" t="str" cm="1">
        <f t="array" aca="1" ref="C433" ca="1">IF(AND(ISNUMBER(CELL("contents",G433)),(G433&gt;0)),TEXT(G433,"MM/DD"),"")</f>
        <v>05/01</v>
      </c>
      <c r="D433" s="17" t="s">
        <v>277</v>
      </c>
      <c r="E433" s="48">
        <v>210</v>
      </c>
      <c r="F433" s="17" t="s">
        <v>375</v>
      </c>
      <c r="G433" s="156">
        <f>'CDS-C'!D290</f>
        <v>45413</v>
      </c>
    </row>
    <row r="434" spans="1:8" ht="17" x14ac:dyDescent="0.2">
      <c r="A434" s="64" t="s">
        <v>505</v>
      </c>
      <c r="B434" s="257" t="str" cm="1">
        <f t="array" aca="1" ref="B434" ca="1">IF(ISBLANK(INDIRECT(MID(_xlfn.FORMULATEXT(C434),2,LEN(_xlfn.FORMULATEXT(C434))-1)))=TRUE,"",C434)</f>
        <v/>
      </c>
      <c r="C434" s="260">
        <f>'CDS-C'!D289</f>
        <v>0</v>
      </c>
      <c r="D434" s="17" t="s">
        <v>277</v>
      </c>
      <c r="E434" s="48">
        <v>211</v>
      </c>
      <c r="F434" s="17" t="s">
        <v>384</v>
      </c>
      <c r="G434" s="17"/>
    </row>
    <row r="435" spans="1:8" ht="17" x14ac:dyDescent="0.2">
      <c r="A435" s="64" t="s">
        <v>506</v>
      </c>
      <c r="B435" s="257" t="str" cm="1">
        <f t="array" aca="1" ref="B435" ca="1">IF(ISBLANK(INDIRECT(MID(_xlfn.FORMULATEXT(C435),2,LEN(_xlfn.FORMULATEXT(C435))-1)))=TRUE,"",C435)</f>
        <v/>
      </c>
      <c r="C435" s="75">
        <f>'CDS-C'!A294</f>
        <v>0</v>
      </c>
      <c r="D435" s="17" t="s">
        <v>277</v>
      </c>
      <c r="E435" s="48">
        <v>212</v>
      </c>
      <c r="F435" s="16" t="s">
        <v>34</v>
      </c>
      <c r="G435" s="17"/>
    </row>
    <row r="436" spans="1:8" ht="17" x14ac:dyDescent="0.2">
      <c r="A436" s="64" t="s">
        <v>507</v>
      </c>
      <c r="B436" s="257" t="str" cm="1">
        <f t="array" aca="1" ref="B436" ca="1">IF(ISBLANK(INDIRECT(MID(_xlfn.FORMULATEXT(C436),2,LEN(_xlfn.FORMULATEXT(C436))-1)))=TRUE,"",C436)</f>
        <v/>
      </c>
      <c r="C436" s="155" t="str" cm="1">
        <f t="array" aca="1" ref="C436" ca="1">IF(AND(ISNUMBER(CELL("contents",G436)),(G436&gt;0)),TEXT(G436,"MM/DD"),"")</f>
        <v/>
      </c>
      <c r="D436" s="17" t="s">
        <v>277</v>
      </c>
      <c r="E436" s="48">
        <v>213</v>
      </c>
      <c r="F436" s="17" t="s">
        <v>375</v>
      </c>
      <c r="G436" s="156">
        <f>'CDS-C'!B299</f>
        <v>0</v>
      </c>
    </row>
    <row r="437" spans="1:8" ht="17" x14ac:dyDescent="0.2">
      <c r="A437" s="64" t="s">
        <v>508</v>
      </c>
      <c r="B437" s="257" t="str" cm="1">
        <f t="array" aca="1" ref="B437" ca="1">IF(ISBLANK(INDIRECT(MID(_xlfn.FORMULATEXT(C437),2,LEN(_xlfn.FORMULATEXT(C437))-1)))=TRUE,"",C437)</f>
        <v/>
      </c>
      <c r="C437" s="167">
        <f>'CDS-C'!B301</f>
        <v>0</v>
      </c>
      <c r="D437" s="17" t="s">
        <v>277</v>
      </c>
      <c r="E437" s="48">
        <v>214</v>
      </c>
      <c r="F437" s="17" t="s">
        <v>492</v>
      </c>
      <c r="G437" s="17"/>
    </row>
    <row r="438" spans="1:8" ht="17" x14ac:dyDescent="0.2">
      <c r="A438" s="64" t="s">
        <v>509</v>
      </c>
      <c r="B438" s="257" t="str" cm="1">
        <f t="array" aca="1" ref="B438" ca="1">IF(ISBLANK(INDIRECT(MID(_xlfn.FORMULATEXT(C438),2,LEN(_xlfn.FORMULATEXT(C438))-1)))=TRUE,"",C438)</f>
        <v/>
      </c>
      <c r="C438" s="65">
        <f>'CDS-C'!B303</f>
        <v>0</v>
      </c>
      <c r="D438" s="17" t="s">
        <v>277</v>
      </c>
      <c r="E438" s="48">
        <v>215</v>
      </c>
      <c r="F438" s="17" t="s">
        <v>21</v>
      </c>
      <c r="G438" s="17"/>
      <c r="H438" s="27"/>
    </row>
    <row r="439" spans="1:8" ht="17" x14ac:dyDescent="0.2">
      <c r="A439" s="64" t="s">
        <v>510</v>
      </c>
      <c r="B439" s="257" t="str" cm="1">
        <f t="array" aca="1" ref="B439" ca="1">IF(ISBLANK(INDIRECT(MID(_xlfn.FORMULATEXT(C439),2,LEN(_xlfn.FORMULATEXT(C439))-1)))=TRUE,"",C439)</f>
        <v>Yes</v>
      </c>
      <c r="C439" s="65" t="str">
        <f>'CDS-C'!C308</f>
        <v>Yes</v>
      </c>
      <c r="D439" s="17" t="s">
        <v>277</v>
      </c>
      <c r="E439" s="48">
        <v>216</v>
      </c>
      <c r="F439" s="17" t="s">
        <v>21</v>
      </c>
      <c r="G439" s="17"/>
      <c r="H439" s="27"/>
    </row>
    <row r="440" spans="1:8" s="16" customFormat="1" ht="17" x14ac:dyDescent="0.2">
      <c r="A440" s="17" t="s">
        <v>511</v>
      </c>
      <c r="B440" s="257" t="str" cm="1">
        <f t="array" aca="1" ref="B440" ca="1">IF(ISBLANK(INDIRECT(MID(_xlfn.FORMULATEXT(C440),2,LEN(_xlfn.FORMULATEXT(C440))-1)))=TRUE,"",C440)</f>
        <v>2 years</v>
      </c>
      <c r="C440" s="264" t="str">
        <f>'CDS-C'!A312</f>
        <v>2 years</v>
      </c>
      <c r="D440" s="16" t="s">
        <v>277</v>
      </c>
      <c r="E440" s="48">
        <v>217</v>
      </c>
      <c r="F440" s="16" t="s">
        <v>34</v>
      </c>
    </row>
    <row r="441" spans="1:8" ht="17" x14ac:dyDescent="0.2">
      <c r="A441" s="64" t="s">
        <v>2324</v>
      </c>
      <c r="B441" s="257" t="str" cm="1">
        <f t="array" aca="1" ref="B441" ca="1">IF(ISBLANK(INDIRECT(MID(_xlfn.FORMULATEXT(C441),2,LEN(_xlfn.FORMULATEXT(C441))-1)))=TRUE,"",C441)</f>
        <v>Yes</v>
      </c>
      <c r="C441" s="65" t="str">
        <f>'CDS-C'!C316</f>
        <v>Yes</v>
      </c>
      <c r="D441" s="17" t="s">
        <v>277</v>
      </c>
      <c r="E441" s="48">
        <v>218</v>
      </c>
      <c r="F441" s="17" t="s">
        <v>21</v>
      </c>
      <c r="G441" s="17"/>
      <c r="H441" s="27"/>
    </row>
    <row r="442" spans="1:8" ht="17" x14ac:dyDescent="0.2">
      <c r="A442" s="64" t="s">
        <v>512</v>
      </c>
      <c r="B442" s="257" t="str" cm="1">
        <f t="array" aca="1" ref="B442" ca="1">IF(ISBLANK(INDIRECT(MID(_xlfn.FORMULATEXT(C442),2,LEN(_xlfn.FORMULATEXT(C442))-1)))=TRUE,"",C442)</f>
        <v>Yes</v>
      </c>
      <c r="C442" s="65" t="str">
        <f>'CDS-C'!C324</f>
        <v>Yes</v>
      </c>
      <c r="D442" s="17" t="s">
        <v>277</v>
      </c>
      <c r="E442" s="48">
        <v>219</v>
      </c>
      <c r="F442" s="17" t="s">
        <v>21</v>
      </c>
      <c r="G442" s="17"/>
      <c r="H442" s="27"/>
    </row>
    <row r="443" spans="1:8" ht="17" x14ac:dyDescent="0.2">
      <c r="A443" s="64" t="s">
        <v>513</v>
      </c>
      <c r="B443" s="257" t="str" cm="1">
        <f t="array" aca="1" ref="B443" ca="1">IF(ISBLANK(INDIRECT(MID(_xlfn.FORMULATEXT(C443),2,LEN(_xlfn.FORMULATEXT(C443))-1)))=TRUE,"",C443)</f>
        <v>11/15</v>
      </c>
      <c r="C443" s="155" t="str" cm="1">
        <f t="array" aca="1" ref="C443" ca="1">IF(AND(ISNUMBER(CELL("contents",G443)),(G443&gt;0)),TEXT(G443,"MM/DD"),"")</f>
        <v>11/15</v>
      </c>
      <c r="D443" s="17" t="s">
        <v>277</v>
      </c>
      <c r="E443" s="48">
        <v>220</v>
      </c>
      <c r="F443" s="17" t="s">
        <v>375</v>
      </c>
      <c r="G443" s="156">
        <f>'CDS-C'!B329</f>
        <v>45611</v>
      </c>
      <c r="H443" s="27"/>
    </row>
    <row r="444" spans="1:8" ht="17" x14ac:dyDescent="0.2">
      <c r="A444" s="64" t="s">
        <v>514</v>
      </c>
      <c r="B444" s="257" t="str" cm="1">
        <f t="array" aca="1" ref="B444" ca="1">IF(ISBLANK(INDIRECT(MID(_xlfn.FORMULATEXT(C444),2,LEN(_xlfn.FORMULATEXT(C444))-1)))=TRUE,"",C444)</f>
        <v>11/30</v>
      </c>
      <c r="C444" s="155" t="str" cm="1">
        <f t="array" aca="1" ref="C444" ca="1">IF(AND(ISNUMBER(CELL("contents",G444)),(G444&gt;0)),TEXT(G444,"MM/DD"),"")</f>
        <v>11/30</v>
      </c>
      <c r="D444" s="17" t="s">
        <v>277</v>
      </c>
      <c r="E444" s="48">
        <v>221</v>
      </c>
      <c r="F444" s="17" t="s">
        <v>375</v>
      </c>
      <c r="G444" s="156">
        <f>'CDS-C'!B330</f>
        <v>45626</v>
      </c>
      <c r="H444" s="27"/>
    </row>
    <row r="445" spans="1:8" ht="17" x14ac:dyDescent="0.2">
      <c r="A445" s="207" t="s">
        <v>515</v>
      </c>
      <c r="B445" s="257" t="str" cm="1">
        <f t="array" aca="1" ref="B445" ca="1">IF(ISBLANK(INDIRECT(MID(_xlfn.FORMULATEXT(C445),2,LEN(_xlfn.FORMULATEXT(C445))-1)))=TRUE,"",C445)</f>
        <v>02/01</v>
      </c>
      <c r="C445" s="155" t="str" cm="1">
        <f t="array" aca="1" ref="C445" ca="1">IF(AND(ISNUMBER(CELL("contents",G445)),(G445&gt;0)),TEXT(G445,"MM/DD"),"")</f>
        <v>02/01</v>
      </c>
      <c r="D445" s="17" t="s">
        <v>277</v>
      </c>
      <c r="E445" s="48">
        <v>222</v>
      </c>
      <c r="F445" s="17" t="s">
        <v>375</v>
      </c>
      <c r="G445" s="156">
        <f>'CDS-C'!B332</f>
        <v>45323</v>
      </c>
      <c r="H445" s="27"/>
    </row>
    <row r="446" spans="1:8" ht="17" x14ac:dyDescent="0.2">
      <c r="A446" s="64" t="s">
        <v>516</v>
      </c>
      <c r="B446" s="257" t="str" cm="1">
        <f t="array" aca="1" ref="B446" ca="1">IF(ISBLANK(INDIRECT(MID(_xlfn.FORMULATEXT(C446),2,LEN(_xlfn.FORMULATEXT(C446))-1)))=TRUE,"",C446)</f>
        <v>02/15</v>
      </c>
      <c r="C446" s="155" t="str" cm="1">
        <f t="array" aca="1" ref="C446" ca="1">IF(AND(ISNUMBER(CELL("contents",G446)),(G446&gt;0)),TEXT(G446,"MM/DD"),"")</f>
        <v>02/15</v>
      </c>
      <c r="D446" s="17" t="s">
        <v>277</v>
      </c>
      <c r="E446" s="48">
        <v>223</v>
      </c>
      <c r="F446" s="17" t="s">
        <v>375</v>
      </c>
      <c r="G446" s="156">
        <f>'CDS-C'!B333</f>
        <v>45337</v>
      </c>
      <c r="H446" s="27"/>
    </row>
    <row r="447" spans="1:8" ht="17" x14ac:dyDescent="0.2">
      <c r="A447" s="64" t="s">
        <v>517</v>
      </c>
      <c r="B447" s="257" t="str" cm="1">
        <f t="array" aca="1" ref="B447" ca="1">IF(ISBLANK(INDIRECT(MID(_xlfn.FORMULATEXT(C447),2,LEN(_xlfn.FORMULATEXT(C447))-1)))=TRUE,"",C447)</f>
        <v/>
      </c>
      <c r="C447" s="75">
        <f>'CDS-C'!A340</f>
        <v>0</v>
      </c>
      <c r="D447" s="17" t="s">
        <v>277</v>
      </c>
      <c r="E447" s="48">
        <v>224</v>
      </c>
      <c r="F447" s="16" t="s">
        <v>34</v>
      </c>
      <c r="G447" s="17"/>
      <c r="H447" s="27"/>
    </row>
    <row r="448" spans="1:8" ht="17" x14ac:dyDescent="0.2">
      <c r="A448" s="64" t="s">
        <v>518</v>
      </c>
      <c r="B448" s="257" t="str" cm="1">
        <f t="array" aca="1" ref="B448" ca="1">IF(ISBLANK(INDIRECT(MID(_xlfn.FORMULATEXT(C448),2,LEN(_xlfn.FORMULATEXT(C448))-1)))=TRUE,"",C448)</f>
        <v>Yes</v>
      </c>
      <c r="C448" s="65" t="str">
        <f>'CDS-C'!C345</f>
        <v>Yes</v>
      </c>
      <c r="D448" s="17" t="s">
        <v>277</v>
      </c>
      <c r="E448" s="48">
        <v>225</v>
      </c>
      <c r="F448" s="17" t="s">
        <v>21</v>
      </c>
      <c r="G448" s="17"/>
      <c r="H448" s="27"/>
    </row>
    <row r="449" spans="1:8" ht="17" x14ac:dyDescent="0.2">
      <c r="A449" s="207" t="s">
        <v>519</v>
      </c>
      <c r="B449" s="257" t="str" cm="1">
        <f t="array" aca="1" ref="B449" ca="1">IF(ISBLANK(INDIRECT(MID(_xlfn.FORMULATEXT(C449),2,LEN(_xlfn.FORMULATEXT(C449))-1)))=TRUE,"",C449)</f>
        <v>12/01</v>
      </c>
      <c r="C449" s="155" t="str" cm="1">
        <f t="array" aca="1" ref="C449" ca="1">IF(AND(ISNUMBER(CELL("contents",G449)),(G449&gt;0)),TEXT(G449,"MM/DD"),"")</f>
        <v>12/01</v>
      </c>
      <c r="D449" s="17" t="s">
        <v>277</v>
      </c>
      <c r="E449" s="48">
        <v>226</v>
      </c>
      <c r="F449" s="17" t="s">
        <v>375</v>
      </c>
      <c r="G449" s="156">
        <f>'CDS-C'!B349</f>
        <v>45627</v>
      </c>
      <c r="H449" s="27"/>
    </row>
    <row r="450" spans="1:8" ht="17" x14ac:dyDescent="0.2">
      <c r="A450" s="207" t="s">
        <v>520</v>
      </c>
      <c r="B450" s="257" t="str" cm="1">
        <f t="array" aca="1" ref="B450" ca="1">IF(ISBLANK(INDIRECT(MID(_xlfn.FORMULATEXT(C450),2,LEN(_xlfn.FORMULATEXT(C450))-1)))=TRUE,"",C450)</f>
        <v>01/01</v>
      </c>
      <c r="C450" s="155" t="str" cm="1">
        <f t="array" aca="1" ref="C450" ca="1">IF(AND(ISNUMBER(CELL("contents",G450)),(G450&gt;0)),TEXT(G450,"MM/DD"),"")</f>
        <v>01/01</v>
      </c>
      <c r="D450" s="17" t="s">
        <v>277</v>
      </c>
      <c r="E450" s="48">
        <v>227</v>
      </c>
      <c r="F450" s="17" t="s">
        <v>375</v>
      </c>
      <c r="G450" s="156">
        <f>'CDS-C'!B350</f>
        <v>45292</v>
      </c>
      <c r="H450" s="27"/>
    </row>
    <row r="451" spans="1:8" ht="17" x14ac:dyDescent="0.2">
      <c r="A451" s="207" t="s">
        <v>521</v>
      </c>
      <c r="B451" s="257" t="str" cm="1">
        <f t="array" aca="1" ref="B451" ca="1">IF(ISBLANK(INDIRECT(MID(_xlfn.FORMULATEXT(C451),2,LEN(_xlfn.FORMULATEXT(C451))-1)))=TRUE,"",C451)</f>
        <v>No</v>
      </c>
      <c r="C451" s="65" t="str">
        <f>'CDS-C'!B353</f>
        <v>No</v>
      </c>
      <c r="D451" s="17" t="s">
        <v>277</v>
      </c>
      <c r="E451" s="48">
        <v>228</v>
      </c>
      <c r="F451" s="17" t="s">
        <v>21</v>
      </c>
      <c r="G451" s="17"/>
      <c r="H451" s="27"/>
    </row>
    <row r="452" spans="1:8" x14ac:dyDescent="0.2">
      <c r="A452" s="207" t="s">
        <v>2309</v>
      </c>
      <c r="B452" s="257" cm="1">
        <f t="array" aca="1" ref="B452" ca="1">IF(ISBLANK(INDIRECT(MID(_xlfn.FORMULATEXT(C452),2,LEN(_xlfn.FORMULATEXT(C452))-1)))=TRUE,"",C452)</f>
        <v>2076</v>
      </c>
      <c r="C452" s="80">
        <f>'CDS-C'!B356</f>
        <v>2076</v>
      </c>
      <c r="D452" s="17" t="s">
        <v>277</v>
      </c>
      <c r="E452" s="48">
        <v>229</v>
      </c>
      <c r="F452" s="17" t="s">
        <v>384</v>
      </c>
      <c r="G452" s="17"/>
      <c r="H452" s="27"/>
    </row>
    <row r="453" spans="1:8" x14ac:dyDescent="0.2">
      <c r="A453" s="207" t="s">
        <v>2310</v>
      </c>
      <c r="B453" s="257" cm="1">
        <f t="array" aca="1" ref="B453" ca="1">IF(ISBLANK(INDIRECT(MID(_xlfn.FORMULATEXT(C453),2,LEN(_xlfn.FORMULATEXT(C453))-1)))=TRUE,"",C453)</f>
        <v>1458</v>
      </c>
      <c r="C453" s="80">
        <f>'CDS-C'!B357</f>
        <v>1458</v>
      </c>
      <c r="D453" s="17" t="s">
        <v>277</v>
      </c>
      <c r="E453" s="48">
        <v>230</v>
      </c>
      <c r="F453" s="17" t="s">
        <v>384</v>
      </c>
      <c r="G453" s="17"/>
      <c r="H453" s="27"/>
    </row>
    <row r="454" spans="1:8" x14ac:dyDescent="0.2">
      <c r="A454" s="207" t="s">
        <v>522</v>
      </c>
      <c r="B454" s="257" cm="1">
        <f t="array" aca="1" ref="B454" ca="1">IF(ISBLANK(INDIRECT(MID(_xlfn.FORMULATEXT(C454),2,LEN(_xlfn.FORMULATEXT(C454))-1)))=TRUE,"",C454)</f>
        <v>121</v>
      </c>
      <c r="C454" s="65">
        <f>'CDS-C'!B358</f>
        <v>121</v>
      </c>
      <c r="D454" s="17" t="s">
        <v>277</v>
      </c>
      <c r="E454" s="48">
        <v>231</v>
      </c>
      <c r="F454" s="17" t="s">
        <v>384</v>
      </c>
      <c r="G454" s="17"/>
      <c r="H454" s="27"/>
    </row>
    <row r="455" spans="1:8" ht="17" x14ac:dyDescent="0.2">
      <c r="A455" s="44" t="s">
        <v>523</v>
      </c>
      <c r="B455" s="257" t="str" cm="1">
        <f t="array" aca="1" ref="B455" ca="1">IF(ISBLANK(INDIRECT(MID(_xlfn.FORMULATEXT(C455),2,LEN(_xlfn.FORMULATEXT(C455))-1)))=TRUE,"",C455)</f>
        <v>Yes</v>
      </c>
      <c r="C455" s="65" t="str">
        <f>'CDS-D'!E5</f>
        <v>Yes</v>
      </c>
      <c r="D455" s="17" t="s">
        <v>524</v>
      </c>
      <c r="E455" s="48">
        <v>1</v>
      </c>
      <c r="F455" s="17" t="s">
        <v>21</v>
      </c>
      <c r="G455" s="17"/>
      <c r="H455" s="27"/>
    </row>
    <row r="456" spans="1:8" ht="17" x14ac:dyDescent="0.2">
      <c r="A456" s="17" t="s">
        <v>525</v>
      </c>
      <c r="B456" s="257" t="str" cm="1">
        <f t="array" aca="1" ref="B456" ca="1">IF(ISBLANK(INDIRECT(MID(_xlfn.FORMULATEXT(C456),2,LEN(_xlfn.FORMULATEXT(C456))-1)))=TRUE,"",C456)</f>
        <v>Yes</v>
      </c>
      <c r="C456" s="65" t="str">
        <f>'CDS-D'!G7</f>
        <v>Yes</v>
      </c>
      <c r="D456" s="17" t="s">
        <v>524</v>
      </c>
      <c r="E456" s="48">
        <f t="shared" ref="E456:E479" si="11">E455+1</f>
        <v>2</v>
      </c>
      <c r="F456" s="17" t="s">
        <v>21</v>
      </c>
      <c r="G456" s="17"/>
      <c r="H456" s="27"/>
    </row>
    <row r="457" spans="1:8" x14ac:dyDescent="0.2">
      <c r="A457" s="207" t="s">
        <v>526</v>
      </c>
      <c r="B457" s="257" cm="1">
        <f t="array" aca="1" ref="B457" ca="1">IF(ISBLANK(INDIRECT(MID(_xlfn.FORMULATEXT(C457),2,LEN(_xlfn.FORMULATEXT(C457))-1)))=TRUE,"",C457)</f>
        <v>102</v>
      </c>
      <c r="C457" s="65">
        <f>'CDS-D'!C13</f>
        <v>102</v>
      </c>
      <c r="D457" s="17" t="s">
        <v>524</v>
      </c>
      <c r="E457" s="48">
        <f t="shared" si="11"/>
        <v>3</v>
      </c>
      <c r="F457" s="17" t="s">
        <v>384</v>
      </c>
      <c r="G457" s="17"/>
      <c r="H457" s="27"/>
    </row>
    <row r="458" spans="1:8" x14ac:dyDescent="0.2">
      <c r="A458" s="207" t="s">
        <v>527</v>
      </c>
      <c r="B458" s="257" cm="1">
        <f t="array" aca="1" ref="B458" ca="1">IF(ISBLANK(INDIRECT(MID(_xlfn.FORMULATEXT(C458),2,LEN(_xlfn.FORMULATEXT(C458))-1)))=TRUE,"",C458)</f>
        <v>53</v>
      </c>
      <c r="C458" s="65">
        <f>'CDS-D'!C14</f>
        <v>53</v>
      </c>
      <c r="D458" s="17" t="s">
        <v>524</v>
      </c>
      <c r="E458" s="48">
        <f t="shared" si="11"/>
        <v>4</v>
      </c>
      <c r="F458" s="17" t="s">
        <v>384</v>
      </c>
      <c r="G458" s="17"/>
      <c r="H458" s="27"/>
    </row>
    <row r="459" spans="1:8" x14ac:dyDescent="0.2">
      <c r="A459" s="207" t="s">
        <v>528</v>
      </c>
      <c r="B459" s="257" cm="1">
        <f t="array" aca="1" ref="B459" ca="1">IF(ISBLANK(INDIRECT(MID(_xlfn.FORMULATEXT(C459),2,LEN(_xlfn.FORMULATEXT(C459))-1)))=TRUE,"",C459)</f>
        <v>0</v>
      </c>
      <c r="C459" s="65">
        <f>'CDS-D'!C15</f>
        <v>0</v>
      </c>
      <c r="D459" s="17" t="s">
        <v>524</v>
      </c>
      <c r="E459" s="48">
        <f t="shared" si="11"/>
        <v>5</v>
      </c>
      <c r="F459" s="17" t="s">
        <v>384</v>
      </c>
      <c r="G459" s="17"/>
      <c r="H459" s="27"/>
    </row>
    <row r="460" spans="1:8" x14ac:dyDescent="0.2">
      <c r="A460" s="207" t="s">
        <v>529</v>
      </c>
      <c r="B460" s="257" cm="1">
        <f t="array" aca="1" ref="B460" ca="1">IF(ISBLANK(INDIRECT(MID(_xlfn.FORMULATEXT(C460),2,LEN(_xlfn.FORMULATEXT(C460))-1)))=TRUE,"",C460)</f>
        <v>155</v>
      </c>
      <c r="C460" s="65">
        <f>'CDS-D'!C16</f>
        <v>155</v>
      </c>
      <c r="D460" s="17" t="s">
        <v>524</v>
      </c>
      <c r="E460" s="48">
        <f t="shared" si="11"/>
        <v>6</v>
      </c>
      <c r="F460" s="17" t="s">
        <v>384</v>
      </c>
      <c r="G460" s="17"/>
    </row>
    <row r="461" spans="1:8" x14ac:dyDescent="0.2">
      <c r="A461" s="207" t="s">
        <v>530</v>
      </c>
      <c r="B461" s="257" cm="1">
        <f t="array" aca="1" ref="B461" ca="1">IF(ISBLANK(INDIRECT(MID(_xlfn.FORMULATEXT(C461),2,LEN(_xlfn.FORMULATEXT(C461))-1)))=TRUE,"",C461)</f>
        <v>35</v>
      </c>
      <c r="C461" s="65">
        <f>'CDS-D'!D13</f>
        <v>35</v>
      </c>
      <c r="D461" s="17" t="s">
        <v>524</v>
      </c>
      <c r="E461" s="48">
        <f t="shared" si="11"/>
        <v>7</v>
      </c>
      <c r="F461" s="17" t="s">
        <v>384</v>
      </c>
      <c r="G461" s="17"/>
      <c r="H461" s="99"/>
    </row>
    <row r="462" spans="1:8" x14ac:dyDescent="0.2">
      <c r="A462" s="207" t="s">
        <v>531</v>
      </c>
      <c r="B462" s="257" cm="1">
        <f t="array" aca="1" ref="B462" ca="1">IF(ISBLANK(INDIRECT(MID(_xlfn.FORMULATEXT(C462),2,LEN(_xlfn.FORMULATEXT(C462))-1)))=TRUE,"",C462)</f>
        <v>25</v>
      </c>
      <c r="C462" s="65">
        <f>'CDS-D'!D14</f>
        <v>25</v>
      </c>
      <c r="D462" s="17" t="s">
        <v>524</v>
      </c>
      <c r="E462" s="48">
        <f t="shared" si="11"/>
        <v>8</v>
      </c>
      <c r="F462" s="17" t="s">
        <v>384</v>
      </c>
      <c r="G462" s="17"/>
    </row>
    <row r="463" spans="1:8" x14ac:dyDescent="0.2">
      <c r="A463" s="207" t="s">
        <v>532</v>
      </c>
      <c r="B463" s="257" cm="1">
        <f t="array" aca="1" ref="B463" ca="1">IF(ISBLANK(INDIRECT(MID(_xlfn.FORMULATEXT(C463),2,LEN(_xlfn.FORMULATEXT(C463))-1)))=TRUE,"",C463)</f>
        <v>0</v>
      </c>
      <c r="C463" s="65">
        <f>'CDS-D'!D15</f>
        <v>0</v>
      </c>
      <c r="D463" s="17" t="s">
        <v>524</v>
      </c>
      <c r="E463" s="48">
        <f t="shared" si="11"/>
        <v>9</v>
      </c>
      <c r="F463" s="17" t="s">
        <v>384</v>
      </c>
      <c r="G463" s="17"/>
      <c r="H463" s="76"/>
    </row>
    <row r="464" spans="1:8" x14ac:dyDescent="0.2">
      <c r="A464" s="207" t="s">
        <v>533</v>
      </c>
      <c r="B464" s="257" cm="1">
        <f t="array" aca="1" ref="B464" ca="1">IF(ISBLANK(INDIRECT(MID(_xlfn.FORMULATEXT(C464),2,LEN(_xlfn.FORMULATEXT(C464))-1)))=TRUE,"",C464)</f>
        <v>60</v>
      </c>
      <c r="C464" s="65">
        <f>'CDS-D'!D16</f>
        <v>60</v>
      </c>
      <c r="D464" s="17" t="s">
        <v>524</v>
      </c>
      <c r="E464" s="48">
        <f t="shared" si="11"/>
        <v>10</v>
      </c>
      <c r="F464" s="17" t="s">
        <v>384</v>
      </c>
      <c r="G464" s="17"/>
      <c r="H464" s="96"/>
    </row>
    <row r="465" spans="1:8" x14ac:dyDescent="0.2">
      <c r="A465" s="207" t="s">
        <v>534</v>
      </c>
      <c r="B465" s="257" cm="1">
        <f t="array" aca="1" ref="B465" ca="1">IF(ISBLANK(INDIRECT(MID(_xlfn.FORMULATEXT(C465),2,LEN(_xlfn.FORMULATEXT(C465))-1)))=TRUE,"",C465)</f>
        <v>17</v>
      </c>
      <c r="C465" s="65">
        <f>'CDS-D'!E13</f>
        <v>17</v>
      </c>
      <c r="D465" s="17" t="s">
        <v>524</v>
      </c>
      <c r="E465" s="48">
        <f t="shared" si="11"/>
        <v>11</v>
      </c>
      <c r="F465" s="17" t="s">
        <v>384</v>
      </c>
      <c r="G465" s="17"/>
      <c r="H465" s="96"/>
    </row>
    <row r="466" spans="1:8" x14ac:dyDescent="0.2">
      <c r="A466" s="207" t="s">
        <v>535</v>
      </c>
      <c r="B466" s="257" cm="1">
        <f t="array" aca="1" ref="B466" ca="1">IF(ISBLANK(INDIRECT(MID(_xlfn.FORMULATEXT(C466),2,LEN(_xlfn.FORMULATEXT(C466))-1)))=TRUE,"",C466)</f>
        <v>12</v>
      </c>
      <c r="C466" s="65">
        <f>'CDS-D'!E14</f>
        <v>12</v>
      </c>
      <c r="D466" s="17" t="s">
        <v>524</v>
      </c>
      <c r="E466" s="48">
        <f t="shared" si="11"/>
        <v>12</v>
      </c>
      <c r="F466" s="17" t="s">
        <v>384</v>
      </c>
      <c r="G466" s="17"/>
      <c r="H466" s="96"/>
    </row>
    <row r="467" spans="1:8" x14ac:dyDescent="0.2">
      <c r="A467" s="207" t="s">
        <v>536</v>
      </c>
      <c r="B467" s="257" cm="1">
        <f t="array" aca="1" ref="B467" ca="1">IF(ISBLANK(INDIRECT(MID(_xlfn.FORMULATEXT(C467),2,LEN(_xlfn.FORMULATEXT(C467))-1)))=TRUE,"",C467)</f>
        <v>0</v>
      </c>
      <c r="C467" s="65">
        <f>'CDS-D'!E15</f>
        <v>0</v>
      </c>
      <c r="D467" s="17" t="s">
        <v>524</v>
      </c>
      <c r="E467" s="48">
        <f t="shared" si="11"/>
        <v>13</v>
      </c>
      <c r="F467" s="17" t="s">
        <v>384</v>
      </c>
      <c r="G467" s="17"/>
      <c r="H467" s="27"/>
    </row>
    <row r="468" spans="1:8" x14ac:dyDescent="0.2">
      <c r="A468" s="64" t="s">
        <v>537</v>
      </c>
      <c r="B468" s="257" cm="1">
        <f t="array" aca="1" ref="B468" ca="1">IF(ISBLANK(INDIRECT(MID(_xlfn.FORMULATEXT(C468),2,LEN(_xlfn.FORMULATEXT(C468))-1)))=TRUE,"",C468)</f>
        <v>29</v>
      </c>
      <c r="C468" s="65">
        <f>'CDS-D'!E16</f>
        <v>29</v>
      </c>
      <c r="D468" s="17" t="s">
        <v>524</v>
      </c>
      <c r="E468" s="48">
        <f t="shared" si="11"/>
        <v>14</v>
      </c>
      <c r="F468" s="17" t="s">
        <v>384</v>
      </c>
      <c r="G468" s="17"/>
      <c r="H468" s="27"/>
    </row>
    <row r="469" spans="1:8" ht="17" x14ac:dyDescent="0.2">
      <c r="A469" s="64" t="s">
        <v>538</v>
      </c>
      <c r="B469" s="257" t="str" cm="1">
        <f t="array" aca="1" ref="B469" ca="1">IF(ISBLANK(INDIRECT(MID(_xlfn.FORMULATEXT(C469),2,LEN(_xlfn.FORMULATEXT(C469))-1)))=TRUE,"",C469)</f>
        <v>Fall|Spring|</v>
      </c>
      <c r="C469" s="65" t="str">
        <f>_xlfn.CONCAT('multi select'!I2:I5)</f>
        <v>Fall|Spring|</v>
      </c>
      <c r="D469" s="17" t="s">
        <v>524</v>
      </c>
      <c r="E469" s="48">
        <f t="shared" si="11"/>
        <v>15</v>
      </c>
      <c r="F469" s="17" t="s">
        <v>539</v>
      </c>
      <c r="G469" s="17"/>
      <c r="H469" s="27"/>
    </row>
    <row r="470" spans="1:8" ht="17" x14ac:dyDescent="0.2">
      <c r="A470" s="64" t="s">
        <v>540</v>
      </c>
      <c r="B470" s="257" t="str" cm="1">
        <f t="array" aca="1" ref="B470" ca="1">IF(ISBLANK(INDIRECT(MID(_xlfn.FORMULATEXT(C470),2,LEN(_xlfn.FORMULATEXT(C470))-1)))=TRUE,"",C470)</f>
        <v>No</v>
      </c>
      <c r="C470" s="65" t="str">
        <f>'CDS-D'!G31</f>
        <v>No</v>
      </c>
      <c r="D470" s="17" t="s">
        <v>524</v>
      </c>
      <c r="E470" s="48">
        <f t="shared" si="11"/>
        <v>16</v>
      </c>
      <c r="F470" s="17" t="s">
        <v>21</v>
      </c>
      <c r="G470" s="17"/>
      <c r="H470" s="27"/>
    </row>
    <row r="471" spans="1:8" ht="17" x14ac:dyDescent="0.2">
      <c r="A471" s="64" t="s">
        <v>541</v>
      </c>
      <c r="B471" s="257" t="str" cm="1">
        <f t="array" aca="1" ref="B471" ca="1">IF(ISBLANK(INDIRECT(MID(_xlfn.FORMULATEXT(C471),2,LEN(_xlfn.FORMULATEXT(C471))-1)))=TRUE,"",C471)</f>
        <v/>
      </c>
      <c r="C471" s="65">
        <f>'CDS-D'!C34</f>
        <v>0</v>
      </c>
      <c r="D471" s="17" t="s">
        <v>524</v>
      </c>
      <c r="E471" s="48">
        <f t="shared" si="11"/>
        <v>17</v>
      </c>
      <c r="F471" s="17" t="s">
        <v>384</v>
      </c>
      <c r="G471" s="17"/>
      <c r="H471" s="27"/>
    </row>
    <row r="472" spans="1:8" ht="17" x14ac:dyDescent="0.2">
      <c r="A472" s="64" t="s">
        <v>542</v>
      </c>
      <c r="B472" s="257" t="str" cm="1">
        <f t="array" aca="1" ref="B472" ca="1">IF(ISBLANK(INDIRECT(MID(_xlfn.FORMULATEXT(C472),2,LEN(_xlfn.FORMULATEXT(C472))-1)))=TRUE,"",C472)</f>
        <v/>
      </c>
      <c r="C472" s="65">
        <f>'CDS-D'!F34</f>
        <v>0</v>
      </c>
      <c r="D472" s="17" t="s">
        <v>524</v>
      </c>
      <c r="E472" s="48">
        <f t="shared" si="11"/>
        <v>18</v>
      </c>
      <c r="F472" s="17" t="s">
        <v>21</v>
      </c>
      <c r="G472" s="17"/>
      <c r="H472" s="27"/>
    </row>
    <row r="473" spans="1:8" ht="17" x14ac:dyDescent="0.2">
      <c r="A473" s="64" t="s">
        <v>543</v>
      </c>
      <c r="B473" s="257" t="str" cm="1">
        <f t="array" aca="1" ref="B473" ca="1">IF(ISBLANK(INDIRECT(MID(_xlfn.FORMULATEXT(C473),2,LEN(_xlfn.FORMULATEXT(C473))-1)))=TRUE,"",C473)</f>
        <v>Recommended of All</v>
      </c>
      <c r="C473" s="65" t="str">
        <f>'CDS-D'!F41</f>
        <v>Recommended of All</v>
      </c>
      <c r="D473" s="17" t="s">
        <v>524</v>
      </c>
      <c r="E473" s="48">
        <f t="shared" si="11"/>
        <v>19</v>
      </c>
      <c r="F473" s="17" t="s">
        <v>21</v>
      </c>
      <c r="G473" s="17"/>
      <c r="H473" s="27"/>
    </row>
    <row r="474" spans="1:8" ht="17" x14ac:dyDescent="0.2">
      <c r="A474" s="64" t="s">
        <v>544</v>
      </c>
      <c r="B474" s="257" t="str" cm="1">
        <f t="array" aca="1" ref="B474" ca="1">IF(ISBLANK(INDIRECT(MID(_xlfn.FORMULATEXT(C474),2,LEN(_xlfn.FORMULATEXT(C474))-1)))=TRUE,"",C474)</f>
        <v>Required of All</v>
      </c>
      <c r="C474" s="65" t="str">
        <f>'CDS-D'!F42</f>
        <v>Required of All</v>
      </c>
      <c r="D474" s="17" t="s">
        <v>524</v>
      </c>
      <c r="E474" s="48">
        <f t="shared" si="11"/>
        <v>20</v>
      </c>
      <c r="F474" s="17" t="s">
        <v>21</v>
      </c>
      <c r="G474" s="17"/>
      <c r="H474" s="27"/>
    </row>
    <row r="475" spans="1:8" ht="17" x14ac:dyDescent="0.2">
      <c r="A475" s="64" t="s">
        <v>545</v>
      </c>
      <c r="B475" s="257" t="str" cm="1">
        <f t="array" aca="1" ref="B475" ca="1">IF(ISBLANK(INDIRECT(MID(_xlfn.FORMULATEXT(C475),2,LEN(_xlfn.FORMULATEXT(C475))-1)))=TRUE,"",C475)</f>
        <v>Required of All</v>
      </c>
      <c r="C475" s="65" t="str">
        <f>'CDS-D'!F43</f>
        <v>Required of All</v>
      </c>
      <c r="D475" s="17" t="s">
        <v>524</v>
      </c>
      <c r="E475" s="48">
        <f t="shared" si="11"/>
        <v>21</v>
      </c>
      <c r="F475" s="17" t="s">
        <v>21</v>
      </c>
      <c r="G475" s="17"/>
      <c r="H475" s="27"/>
    </row>
    <row r="476" spans="1:8" ht="17" x14ac:dyDescent="0.2">
      <c r="A476" s="64" t="s">
        <v>546</v>
      </c>
      <c r="B476" s="257" t="str" cm="1">
        <f t="array" aca="1" ref="B476" ca="1">IF(ISBLANK(INDIRECT(MID(_xlfn.FORMULATEXT(C476),2,LEN(_xlfn.FORMULATEXT(C476))-1)))=TRUE,"",C476)</f>
        <v>Not Required</v>
      </c>
      <c r="C476" s="65" t="str">
        <f>'CDS-D'!F44</f>
        <v>Not Required</v>
      </c>
      <c r="D476" s="17" t="s">
        <v>524</v>
      </c>
      <c r="E476" s="48">
        <f t="shared" si="11"/>
        <v>22</v>
      </c>
      <c r="F476" s="17" t="s">
        <v>21</v>
      </c>
      <c r="G476" s="17"/>
      <c r="H476" s="27"/>
    </row>
    <row r="477" spans="1:8" ht="17" x14ac:dyDescent="0.2">
      <c r="A477" s="64" t="s">
        <v>547</v>
      </c>
      <c r="B477" s="257" t="str" cm="1">
        <f t="array" aca="1" ref="B477" ca="1">IF(ISBLANK(INDIRECT(MID(_xlfn.FORMULATEXT(C477),2,LEN(_xlfn.FORMULATEXT(C477))-1)))=TRUE,"",C477)</f>
        <v>Not Required</v>
      </c>
      <c r="C477" s="65" t="str">
        <f>'CDS-D'!F45</f>
        <v>Not Required</v>
      </c>
      <c r="D477" s="17" t="s">
        <v>524</v>
      </c>
      <c r="E477" s="48">
        <f t="shared" si="11"/>
        <v>23</v>
      </c>
      <c r="F477" s="17" t="s">
        <v>21</v>
      </c>
      <c r="G477" s="17"/>
      <c r="H477" s="27"/>
    </row>
    <row r="478" spans="1:8" ht="17" x14ac:dyDescent="0.2">
      <c r="A478" s="64" t="s">
        <v>548</v>
      </c>
      <c r="B478" s="257" t="str" cm="1">
        <f t="array" aca="1" ref="B478" ca="1">IF(ISBLANK(INDIRECT(MID(_xlfn.FORMULATEXT(C478),2,LEN(_xlfn.FORMULATEXT(C478))-1)))=TRUE,"",C478)</f>
        <v>Required of All</v>
      </c>
      <c r="C478" s="65" t="str">
        <f>'CDS-D'!F46</f>
        <v>Required of All</v>
      </c>
      <c r="D478" s="17" t="s">
        <v>524</v>
      </c>
      <c r="E478" s="48">
        <f t="shared" si="11"/>
        <v>24</v>
      </c>
      <c r="F478" s="17" t="s">
        <v>21</v>
      </c>
      <c r="G478" s="17"/>
      <c r="H478" s="27"/>
    </row>
    <row r="479" spans="1:8" ht="17" x14ac:dyDescent="0.2">
      <c r="A479" s="64" t="s">
        <v>549</v>
      </c>
      <c r="B479" s="257" t="str" cm="1">
        <f t="array" aca="1" ref="B479" ca="1">IF(ISBLANK(INDIRECT(MID(_xlfn.FORMULATEXT(C479),2,LEN(_xlfn.FORMULATEXT(C479))-1)))=TRUE,"",C479)</f>
        <v/>
      </c>
      <c r="C479" s="65">
        <f>'CDS-D'!E52</f>
        <v>0</v>
      </c>
      <c r="D479" s="17" t="s">
        <v>524</v>
      </c>
      <c r="E479" s="48">
        <f t="shared" si="11"/>
        <v>25</v>
      </c>
      <c r="F479" s="17" t="s">
        <v>384</v>
      </c>
      <c r="G479" s="17"/>
      <c r="H479" s="27"/>
    </row>
    <row r="480" spans="1:8" ht="17" x14ac:dyDescent="0.2">
      <c r="A480" s="64" t="s">
        <v>550</v>
      </c>
      <c r="B480" s="257" t="str" cm="1">
        <f t="array" aca="1" ref="B480" ca="1">IF(ISBLANK(INDIRECT(MID(_xlfn.FORMULATEXT(C480),2,LEN(_xlfn.FORMULATEXT(C480))-1)))=TRUE,"",C480)</f>
        <v/>
      </c>
      <c r="C480" s="65">
        <f>'CDS-D'!E57</f>
        <v>0</v>
      </c>
      <c r="D480" s="17" t="s">
        <v>524</v>
      </c>
      <c r="E480" s="48">
        <v>27</v>
      </c>
      <c r="F480" s="17" t="s">
        <v>384</v>
      </c>
      <c r="G480" s="17"/>
      <c r="H480" s="27"/>
    </row>
    <row r="481" spans="1:8" ht="17" x14ac:dyDescent="0.2">
      <c r="A481" s="64" t="s">
        <v>551</v>
      </c>
      <c r="B481" s="257" t="str" cm="1">
        <f t="array" aca="1" ref="B481" ca="1">IF(ISBLANK(INDIRECT(MID(_xlfn.FORMULATEXT(C481),2,LEN(_xlfn.FORMULATEXT(C481))-1)))=TRUE,"",C481)</f>
        <v/>
      </c>
      <c r="C481" s="75">
        <f>'CDS-D'!F59</f>
        <v>0</v>
      </c>
      <c r="D481" s="17" t="s">
        <v>524</v>
      </c>
      <c r="E481" s="48">
        <f>E480+1</f>
        <v>28</v>
      </c>
      <c r="F481" s="16" t="s">
        <v>34</v>
      </c>
      <c r="G481" s="17"/>
      <c r="H481" s="27"/>
    </row>
    <row r="482" spans="1:8" ht="17" x14ac:dyDescent="0.2">
      <c r="A482" s="64" t="s">
        <v>552</v>
      </c>
      <c r="B482" s="257" t="str" cm="1">
        <f t="array" aca="1" ref="B482" ca="1">IF(ISBLANK(INDIRECT(MID(_xlfn.FORMULATEXT(C482),2,LEN(_xlfn.FORMULATEXT(C482))-1)))=TRUE,"",C482)</f>
        <v/>
      </c>
      <c r="C482" s="155" t="str" cm="1">
        <f t="array" aca="1" ref="C482" ca="1">IF(AND(ISNUMBER(CELL("contents",G482)),(G482&gt;0)),TEXT(G482,"MM/DD"),"")</f>
        <v/>
      </c>
      <c r="D482" s="17" t="s">
        <v>524</v>
      </c>
      <c r="E482" s="48">
        <v>28</v>
      </c>
      <c r="F482" s="17" t="s">
        <v>375</v>
      </c>
      <c r="G482" s="73">
        <f>'CDS-D'!B66</f>
        <v>0</v>
      </c>
      <c r="H482" s="27" t="str" cm="1">
        <f t="array" aca="1" ref="H482" ca="1">IF(AND(ISNUMBER(CELL("contents",D111)),(D111&gt;0)),TEXT(D111,"MM/DD"),"")</f>
        <v/>
      </c>
    </row>
    <row r="483" spans="1:8" ht="17" x14ac:dyDescent="0.2">
      <c r="A483" s="64" t="s">
        <v>553</v>
      </c>
      <c r="B483" s="257" t="str" cm="1">
        <f t="array" aca="1" ref="B483" ca="1">IF(ISBLANK(INDIRECT(MID(_xlfn.FORMULATEXT(C483),2,LEN(_xlfn.FORMULATEXT(C483))-1)))=TRUE,"",C483)</f>
        <v/>
      </c>
      <c r="C483" s="155" t="str" cm="1">
        <f t="array" aca="1" ref="C483" ca="1">IF(AND(ISNUMBER(CELL("contents",G483)),(G483&gt;0)),TEXT(G483,"MM/DD"),"")</f>
        <v/>
      </c>
      <c r="D483" s="17" t="s">
        <v>524</v>
      </c>
      <c r="E483" s="48">
        <v>29</v>
      </c>
      <c r="F483" s="17" t="s">
        <v>375</v>
      </c>
      <c r="G483" s="156">
        <f>'CDS-D'!B67</f>
        <v>0</v>
      </c>
      <c r="H483" s="27"/>
    </row>
    <row r="484" spans="1:8" ht="17" x14ac:dyDescent="0.2">
      <c r="A484" s="64" t="s">
        <v>554</v>
      </c>
      <c r="B484" s="257" t="str" cm="1">
        <f t="array" aca="1" ref="B484" ca="1">IF(ISBLANK(INDIRECT(MID(_xlfn.FORMULATEXT(C484),2,LEN(_xlfn.FORMULATEXT(C484))-1)))=TRUE,"",C484)</f>
        <v>07/01</v>
      </c>
      <c r="C484" s="155" t="str" cm="1">
        <f t="array" aca="1" ref="C484" ca="1">IF(AND(ISNUMBER(CELL("contents",G484)),(G484&gt;0)),TEXT(G484,"MM/DD"),"")</f>
        <v>07/01</v>
      </c>
      <c r="D484" s="17" t="s">
        <v>524</v>
      </c>
      <c r="E484" s="48">
        <v>30</v>
      </c>
      <c r="F484" s="17" t="s">
        <v>375</v>
      </c>
      <c r="G484" s="156">
        <f>'CDS-D'!C66</f>
        <v>45474</v>
      </c>
      <c r="H484" s="27"/>
    </row>
    <row r="485" spans="1:8" ht="17" x14ac:dyDescent="0.2">
      <c r="A485" s="64" t="s">
        <v>555</v>
      </c>
      <c r="B485" s="257" t="str" cm="1">
        <f t="array" aca="1" ref="B485" ca="1">IF(ISBLANK(INDIRECT(MID(_xlfn.FORMULATEXT(C485),2,LEN(_xlfn.FORMULATEXT(C485))-1)))=TRUE,"",C485)</f>
        <v/>
      </c>
      <c r="C485" s="155" t="str" cm="1">
        <f t="array" aca="1" ref="C485" ca="1">IF(AND(ISNUMBER(CELL("contents",G485)),(G485&gt;0)),TEXT(G485,"MM/DD"),"")</f>
        <v/>
      </c>
      <c r="D485" s="17" t="s">
        <v>524</v>
      </c>
      <c r="E485" s="48">
        <v>31</v>
      </c>
      <c r="F485" s="17" t="s">
        <v>375</v>
      </c>
      <c r="G485" s="156">
        <f>'CDS-D'!C67</f>
        <v>0</v>
      </c>
      <c r="H485" s="27"/>
    </row>
    <row r="486" spans="1:8" ht="17" x14ac:dyDescent="0.2">
      <c r="A486" s="64" t="s">
        <v>556</v>
      </c>
      <c r="B486" s="257" t="str" cm="1">
        <f t="array" aca="1" ref="B486" ca="1">IF(ISBLANK(INDIRECT(MID(_xlfn.FORMULATEXT(C486),2,LEN(_xlfn.FORMULATEXT(C486))-1)))=TRUE,"",C486)</f>
        <v>08/01</v>
      </c>
      <c r="C486" s="155" t="str" cm="1">
        <f t="array" aca="1" ref="C486" ca="1">IF(AND(ISNUMBER(CELL("contents",G486)),(G486&gt;0)),TEXT(G486,"MM/DD"),"")</f>
        <v>08/01</v>
      </c>
      <c r="D486" s="17" t="s">
        <v>524</v>
      </c>
      <c r="E486" s="48">
        <v>32</v>
      </c>
      <c r="F486" s="17" t="s">
        <v>375</v>
      </c>
      <c r="G486" s="156">
        <f>'CDS-D'!D66</f>
        <v>45505</v>
      </c>
      <c r="H486" s="27"/>
    </row>
    <row r="487" spans="1:8" ht="17" x14ac:dyDescent="0.2">
      <c r="A487" s="64" t="s">
        <v>557</v>
      </c>
      <c r="B487" s="257" t="str" cm="1">
        <f t="array" aca="1" ref="B487" ca="1">IF(ISBLANK(INDIRECT(MID(_xlfn.FORMULATEXT(C487),2,LEN(_xlfn.FORMULATEXT(C487))-1)))=TRUE,"",C487)</f>
        <v/>
      </c>
      <c r="C487" s="155" t="str" cm="1">
        <f t="array" aca="1" ref="C487" ca="1">IF(AND(ISNUMBER(CELL("contents",G487)),(G487&gt;0)),TEXT(G487,"MM/DD"),"")</f>
        <v/>
      </c>
      <c r="D487" s="17" t="s">
        <v>524</v>
      </c>
      <c r="E487" s="48">
        <v>33</v>
      </c>
      <c r="F487" s="17" t="s">
        <v>375</v>
      </c>
      <c r="G487" s="156">
        <f>'CDS-D'!D67</f>
        <v>0</v>
      </c>
      <c r="H487" s="27"/>
    </row>
    <row r="488" spans="1:8" ht="17" x14ac:dyDescent="0.2">
      <c r="A488" s="64" t="s">
        <v>558</v>
      </c>
      <c r="B488" s="257" t="str" cm="1">
        <f t="array" aca="1" ref="B488" ca="1">IF(ISBLANK(INDIRECT(MID(_xlfn.FORMULATEXT(C488),2,LEN(_xlfn.FORMULATEXT(C488))-1)))=TRUE,"",C488)</f>
        <v/>
      </c>
      <c r="C488" s="155" t="str" cm="1">
        <f t="array" aca="1" ref="C488" ca="1">IF(AND(ISNUMBER(CELL("contents",G488)),(G488&gt;0)),TEXT(G488,"MM/DD"),"")</f>
        <v/>
      </c>
      <c r="D488" s="17" t="s">
        <v>524</v>
      </c>
      <c r="E488" s="48">
        <v>33</v>
      </c>
      <c r="F488" s="17" t="s">
        <v>375</v>
      </c>
      <c r="G488" s="156">
        <f>'CDS-D'!E66</f>
        <v>0</v>
      </c>
      <c r="H488" s="27"/>
    </row>
    <row r="489" spans="1:8" ht="17" x14ac:dyDescent="0.2">
      <c r="A489" s="64" t="s">
        <v>559</v>
      </c>
      <c r="B489" s="257" t="str" cm="1">
        <f t="array" aca="1" ref="B489" ca="1">IF(ISBLANK(INDIRECT(MID(_xlfn.FORMULATEXT(C489),2,LEN(_xlfn.FORMULATEXT(C489))-1)))=TRUE,"",C489)</f>
        <v/>
      </c>
      <c r="C489" s="155" t="str" cm="1">
        <f t="array" aca="1" ref="C489" ca="1">IF(AND(ISNUMBER(CELL("contents",G489)),(G489&gt;0)),TEXT(G489,"MM/DD"),"")</f>
        <v/>
      </c>
      <c r="D489" s="17" t="s">
        <v>524</v>
      </c>
      <c r="E489" s="48">
        <v>34</v>
      </c>
      <c r="F489" s="17" t="s">
        <v>375</v>
      </c>
      <c r="G489" s="156">
        <f>'CDS-D'!E67</f>
        <v>0</v>
      </c>
      <c r="H489" s="27"/>
    </row>
    <row r="490" spans="1:8" ht="17" x14ac:dyDescent="0.2">
      <c r="A490" s="64" t="s">
        <v>560</v>
      </c>
      <c r="B490" s="257" t="str" cm="1">
        <f t="array" aca="1" ref="B490" ca="1">IF(ISBLANK(INDIRECT(MID(_xlfn.FORMULATEXT(C490),2,LEN(_xlfn.FORMULATEXT(C490))-1)))=TRUE,"",C490)</f>
        <v/>
      </c>
      <c r="C490" s="155" t="str" cm="1">
        <f t="array" aca="1" ref="C490" ca="1">IF(AND(ISNUMBER(CELL("contents",G490)),(G490&gt;0)),TEXT(G490,"MM/DD"),"")</f>
        <v/>
      </c>
      <c r="D490" s="17" t="s">
        <v>524</v>
      </c>
      <c r="E490" s="48">
        <v>35</v>
      </c>
      <c r="F490" s="17" t="s">
        <v>375</v>
      </c>
      <c r="G490" s="156">
        <f>'CDS-D'!B68</f>
        <v>0</v>
      </c>
      <c r="H490" s="27"/>
    </row>
    <row r="491" spans="1:8" ht="17" x14ac:dyDescent="0.2">
      <c r="A491" s="64" t="s">
        <v>561</v>
      </c>
      <c r="B491" s="257" t="str" cm="1">
        <f t="array" aca="1" ref="B491" ca="1">IF(ISBLANK(INDIRECT(MID(_xlfn.FORMULATEXT(C491),2,LEN(_xlfn.FORMULATEXT(C491))-1)))=TRUE,"",C491)</f>
        <v/>
      </c>
      <c r="C491" s="155" t="str" cm="1">
        <f t="array" aca="1" ref="C491" ca="1">IF(AND(ISNUMBER(CELL("contents",G491)),(G491&gt;0)),TEXT(G491,"MM/DD"),"")</f>
        <v/>
      </c>
      <c r="D491" s="17" t="s">
        <v>524</v>
      </c>
      <c r="E491" s="48">
        <v>36</v>
      </c>
      <c r="F491" s="17" t="s">
        <v>375</v>
      </c>
      <c r="G491" s="156">
        <f>'CDS-D'!B69</f>
        <v>0</v>
      </c>
      <c r="H491" s="27"/>
    </row>
    <row r="492" spans="1:8" ht="17" x14ac:dyDescent="0.2">
      <c r="A492" s="64" t="s">
        <v>562</v>
      </c>
      <c r="B492" s="257" t="str" cm="1">
        <f t="array" aca="1" ref="B492" ca="1">IF(ISBLANK(INDIRECT(MID(_xlfn.FORMULATEXT(C492),2,LEN(_xlfn.FORMULATEXT(C492))-1)))=TRUE,"",C492)</f>
        <v>11/01</v>
      </c>
      <c r="C492" s="155" t="str" cm="1">
        <f t="array" aca="1" ref="C492" ca="1">IF(AND(ISNUMBER(CELL("contents",G492)),(G492&gt;0)),TEXT(G492,"MM/DD"),"")</f>
        <v>11/01</v>
      </c>
      <c r="D492" s="17" t="s">
        <v>524</v>
      </c>
      <c r="E492" s="48">
        <v>37</v>
      </c>
      <c r="F492" s="17" t="s">
        <v>375</v>
      </c>
      <c r="G492" s="156">
        <f>'CDS-D'!C68</f>
        <v>45597</v>
      </c>
      <c r="H492" s="27"/>
    </row>
    <row r="493" spans="1:8" ht="17" x14ac:dyDescent="0.2">
      <c r="A493" s="64" t="s">
        <v>563</v>
      </c>
      <c r="B493" s="257" t="str" cm="1">
        <f t="array" aca="1" ref="B493" ca="1">IF(ISBLANK(INDIRECT(MID(_xlfn.FORMULATEXT(C493),2,LEN(_xlfn.FORMULATEXT(C493))-1)))=TRUE,"",C493)</f>
        <v/>
      </c>
      <c r="C493" s="155" t="str" cm="1">
        <f t="array" aca="1" ref="C493" ca="1">IF(AND(ISNUMBER(CELL("contents",G493)),(G493&gt;0)),TEXT(G493,"MM/DD"),"")</f>
        <v/>
      </c>
      <c r="D493" s="17" t="s">
        <v>524</v>
      </c>
      <c r="E493" s="48">
        <v>38</v>
      </c>
      <c r="F493" s="17" t="s">
        <v>375</v>
      </c>
      <c r="G493" s="156">
        <f>'CDS-D'!C69</f>
        <v>0</v>
      </c>
      <c r="H493" s="27"/>
    </row>
    <row r="494" spans="1:8" ht="17" x14ac:dyDescent="0.2">
      <c r="A494" s="64" t="s">
        <v>564</v>
      </c>
      <c r="B494" s="257" t="str" cm="1">
        <f t="array" aca="1" ref="B494" ca="1">IF(ISBLANK(INDIRECT(MID(_xlfn.FORMULATEXT(C494),2,LEN(_xlfn.FORMULATEXT(C494))-1)))=TRUE,"",C494)</f>
        <v>12/01</v>
      </c>
      <c r="C494" s="155" t="str" cm="1">
        <f t="array" aca="1" ref="C494" ca="1">IF(AND(ISNUMBER(CELL("contents",G494)),(G494&gt;0)),TEXT(G494,"MM/DD"),"")</f>
        <v>12/01</v>
      </c>
      <c r="D494" s="17" t="s">
        <v>524</v>
      </c>
      <c r="E494" s="48">
        <v>39</v>
      </c>
      <c r="F494" s="17" t="s">
        <v>375</v>
      </c>
      <c r="G494" s="156">
        <f>'CDS-D'!D68</f>
        <v>45627</v>
      </c>
      <c r="H494" s="27"/>
    </row>
    <row r="495" spans="1:8" ht="17" x14ac:dyDescent="0.2">
      <c r="A495" s="64" t="s">
        <v>565</v>
      </c>
      <c r="B495" s="257" t="str" cm="1">
        <f t="array" aca="1" ref="B495" ca="1">IF(ISBLANK(INDIRECT(MID(_xlfn.FORMULATEXT(C495),2,LEN(_xlfn.FORMULATEXT(C495))-1)))=TRUE,"",C495)</f>
        <v/>
      </c>
      <c r="C495" s="155" t="str" cm="1">
        <f t="array" aca="1" ref="C495" ca="1">IF(AND(ISNUMBER(CELL("contents",G495)),(G495&gt;0)),TEXT(G495,"MM/DD"),"")</f>
        <v/>
      </c>
      <c r="D495" s="17" t="s">
        <v>524</v>
      </c>
      <c r="E495" s="48">
        <v>40</v>
      </c>
      <c r="F495" s="17" t="s">
        <v>375</v>
      </c>
      <c r="G495" s="156">
        <f>'CDS-D'!D69</f>
        <v>0</v>
      </c>
      <c r="H495" s="27"/>
    </row>
    <row r="496" spans="1:8" ht="17" x14ac:dyDescent="0.2">
      <c r="A496" s="64" t="s">
        <v>566</v>
      </c>
      <c r="B496" s="257" t="str" cm="1">
        <f t="array" aca="1" ref="B496" ca="1">IF(ISBLANK(INDIRECT(MID(_xlfn.FORMULATEXT(C496),2,LEN(_xlfn.FORMULATEXT(C496))-1)))=TRUE,"",C496)</f>
        <v/>
      </c>
      <c r="C496" s="155" t="str" cm="1">
        <f t="array" aca="1" ref="C496" ca="1">IF(AND(ISNUMBER(CELL("contents",G496)),(G496&gt;0)),TEXT(G496,"MM/DD"),"")</f>
        <v/>
      </c>
      <c r="D496" s="17" t="s">
        <v>524</v>
      </c>
      <c r="E496" s="48">
        <v>41</v>
      </c>
      <c r="F496" s="17" t="s">
        <v>375</v>
      </c>
      <c r="G496" s="156">
        <f>'CDS-D'!E68</f>
        <v>0</v>
      </c>
      <c r="H496" s="27"/>
    </row>
    <row r="497" spans="1:9" ht="17" x14ac:dyDescent="0.2">
      <c r="A497" s="64" t="s">
        <v>567</v>
      </c>
      <c r="B497" s="257" t="str" cm="1">
        <f t="array" aca="1" ref="B497" ca="1">IF(ISBLANK(INDIRECT(MID(_xlfn.FORMULATEXT(C497),2,LEN(_xlfn.FORMULATEXT(C497))-1)))=TRUE,"",C497)</f>
        <v/>
      </c>
      <c r="C497" s="155" t="str" cm="1">
        <f t="array" aca="1" ref="C497" ca="1">IF(AND(ISNUMBER(CELL("contents",G497)),(G497&gt;0)),TEXT(G497,"MM/DD"),"")</f>
        <v/>
      </c>
      <c r="D497" s="17" t="s">
        <v>524</v>
      </c>
      <c r="E497" s="48">
        <v>42</v>
      </c>
      <c r="F497" s="17" t="s">
        <v>375</v>
      </c>
      <c r="G497" s="156">
        <f>'CDS-D'!E69</f>
        <v>0</v>
      </c>
      <c r="H497" s="27"/>
    </row>
    <row r="498" spans="1:9" ht="17" x14ac:dyDescent="0.2">
      <c r="A498" s="64" t="s">
        <v>2298</v>
      </c>
      <c r="B498" s="257" t="str" cm="1">
        <f t="array" aca="1" ref="B498" ca="1">IF(ISBLANK(INDIRECT(MID(_xlfn.FORMULATEXT(C498),2,LEN(_xlfn.FORMULATEXT(C498))-1)))=TRUE,"",C498)</f>
        <v>Rolling Admission</v>
      </c>
      <c r="C498" s="65" t="str">
        <f>'multi select'!K2</f>
        <v>Rolling Admission</v>
      </c>
      <c r="D498" s="17" t="s">
        <v>524</v>
      </c>
      <c r="E498" s="48">
        <v>43</v>
      </c>
      <c r="F498" s="17" t="s">
        <v>568</v>
      </c>
      <c r="G498" s="17"/>
      <c r="H498" s="27"/>
      <c r="I498" s="27" t="s">
        <v>569</v>
      </c>
    </row>
    <row r="499" spans="1:9" ht="17" x14ac:dyDescent="0.2">
      <c r="A499" s="64" t="s">
        <v>570</v>
      </c>
      <c r="B499" s="257" t="str" cm="1">
        <f t="array" aca="1" ref="B499" ca="1">IF(ISBLANK(INDIRECT(MID(_xlfn.FORMULATEXT(C499),2,LEN(_xlfn.FORMULATEXT(C499))-1)))=TRUE,"",C499)</f>
        <v/>
      </c>
      <c r="C499" s="65" t="str">
        <f>'multi select'!K3</f>
        <v/>
      </c>
      <c r="D499" s="17" t="s">
        <v>524</v>
      </c>
      <c r="E499" s="48">
        <v>44</v>
      </c>
      <c r="F499" s="17" t="s">
        <v>568</v>
      </c>
      <c r="G499" s="17"/>
      <c r="H499" s="27"/>
      <c r="I499" s="27" t="s">
        <v>569</v>
      </c>
    </row>
    <row r="500" spans="1:9" ht="17" x14ac:dyDescent="0.2">
      <c r="A500" s="64" t="s">
        <v>571</v>
      </c>
      <c r="B500" s="257" t="str" cm="1">
        <f t="array" aca="1" ref="B500" ca="1">IF(ISBLANK(INDIRECT(MID(_xlfn.FORMULATEXT(C500),2,LEN(_xlfn.FORMULATEXT(C500))-1)))=TRUE,"",C500)</f>
        <v>Rolling Admission</v>
      </c>
      <c r="C500" s="65" t="str">
        <f>'multi select'!K4</f>
        <v>Rolling Admission</v>
      </c>
      <c r="D500" s="17" t="s">
        <v>524</v>
      </c>
      <c r="E500" s="48">
        <v>45</v>
      </c>
      <c r="F500" s="17" t="s">
        <v>568</v>
      </c>
      <c r="G500" s="17"/>
      <c r="H500" s="27"/>
      <c r="I500" s="27" t="s">
        <v>569</v>
      </c>
    </row>
    <row r="501" spans="1:9" ht="17" x14ac:dyDescent="0.2">
      <c r="A501" s="64" t="s">
        <v>572</v>
      </c>
      <c r="B501" s="257" t="str" cm="1">
        <f t="array" aca="1" ref="B501" ca="1">IF(ISBLANK(INDIRECT(MID(_xlfn.FORMULATEXT(C501),2,LEN(_xlfn.FORMULATEXT(C501))-1)))=TRUE,"",C501)</f>
        <v/>
      </c>
      <c r="C501" s="65" t="str">
        <f>'multi select'!K5</f>
        <v/>
      </c>
      <c r="D501" s="17" t="s">
        <v>524</v>
      </c>
      <c r="E501" s="48">
        <v>46</v>
      </c>
      <c r="F501" s="17" t="s">
        <v>568</v>
      </c>
      <c r="G501" s="17"/>
      <c r="H501" s="27"/>
      <c r="I501" s="27" t="s">
        <v>569</v>
      </c>
    </row>
    <row r="502" spans="1:9" ht="17" x14ac:dyDescent="0.2">
      <c r="A502" s="64" t="s">
        <v>573</v>
      </c>
      <c r="B502" s="257" t="str" cm="1">
        <f t="array" aca="1" ref="B502" ca="1">IF(ISBLANK(INDIRECT(MID(_xlfn.FORMULATEXT(C502),2,LEN(_xlfn.FORMULATEXT(C502))-1)))=TRUE,"",C502)</f>
        <v>No</v>
      </c>
      <c r="C502" s="65" t="str">
        <f>'CDS-D'!E77</f>
        <v>No</v>
      </c>
      <c r="D502" s="17" t="s">
        <v>524</v>
      </c>
      <c r="E502" s="48">
        <v>47</v>
      </c>
      <c r="F502" s="17" t="s">
        <v>21</v>
      </c>
      <c r="G502" s="17"/>
      <c r="H502" s="27"/>
    </row>
    <row r="503" spans="1:9" ht="17" x14ac:dyDescent="0.2">
      <c r="A503" s="64" t="s">
        <v>574</v>
      </c>
      <c r="B503" s="257" t="str" cm="1">
        <f t="array" aca="1" ref="B503" ca="1">IF(ISBLANK(INDIRECT(MID(_xlfn.FORMULATEXT(C503),2,LEN(_xlfn.FORMULATEXT(C503))-1)))=TRUE,"",C503)</f>
        <v/>
      </c>
      <c r="C503" s="75">
        <f>'CDS-D'!F80</f>
        <v>0</v>
      </c>
      <c r="D503" s="17" t="s">
        <v>524</v>
      </c>
      <c r="E503" s="48">
        <v>48</v>
      </c>
      <c r="F503" s="16" t="s">
        <v>34</v>
      </c>
      <c r="G503" s="17"/>
      <c r="H503" s="29"/>
    </row>
    <row r="504" spans="1:9" ht="17" x14ac:dyDescent="0.2">
      <c r="A504" s="64" t="s">
        <v>575</v>
      </c>
      <c r="B504" s="257" t="str" cm="1">
        <f t="array" aca="1" ref="B504" ca="1">IF(ISBLANK(INDIRECT(MID(_xlfn.FORMULATEXT(C504),2,LEN(_xlfn.FORMULATEXT(C504))-1)))=TRUE,"",C504)</f>
        <v>C</v>
      </c>
      <c r="C504" s="65" t="str">
        <f>'CDS-D'!C84</f>
        <v>C</v>
      </c>
      <c r="D504" s="17" t="s">
        <v>524</v>
      </c>
      <c r="E504" s="48">
        <v>49</v>
      </c>
      <c r="F504" s="17" t="s">
        <v>14</v>
      </c>
      <c r="G504" s="17"/>
      <c r="H504" s="27"/>
    </row>
    <row r="505" spans="1:9" x14ac:dyDescent="0.2">
      <c r="A505" s="64" t="s">
        <v>576</v>
      </c>
      <c r="B505" s="257" cm="1">
        <f t="array" aca="1" ref="B505" ca="1">IF(ISBLANK(INDIRECT(MID(_xlfn.FORMULATEXT(C505),2,LEN(_xlfn.FORMULATEXT(C505))-1)))=TRUE,"",C505)</f>
        <v>64</v>
      </c>
      <c r="C505" s="260">
        <f>'CDS-D'!B89</f>
        <v>64</v>
      </c>
      <c r="D505" s="17" t="s">
        <v>524</v>
      </c>
      <c r="E505" s="48">
        <v>50</v>
      </c>
      <c r="F505" s="17" t="s">
        <v>384</v>
      </c>
      <c r="G505" s="17"/>
      <c r="H505" s="27"/>
    </row>
    <row r="506" spans="1:9" ht="17" x14ac:dyDescent="0.2">
      <c r="A506" s="64" t="s">
        <v>577</v>
      </c>
      <c r="B506" s="257" t="str" cm="1">
        <f t="array" aca="1" ref="B506" ca="1">IF(ISBLANK(INDIRECT(MID(_xlfn.FORMULATEXT(C506),2,LEN(_xlfn.FORMULATEXT(C506))-1)))=TRUE,"",C506)</f>
        <v>Credit(s)</v>
      </c>
      <c r="C506" s="65" t="str">
        <f>'CDS-D'!D89</f>
        <v>Credit(s)</v>
      </c>
      <c r="D506" s="17" t="s">
        <v>524</v>
      </c>
      <c r="E506" s="48">
        <v>51</v>
      </c>
      <c r="F506" s="17" t="s">
        <v>21</v>
      </c>
      <c r="G506" s="17"/>
      <c r="H506" s="30"/>
    </row>
    <row r="507" spans="1:9" x14ac:dyDescent="0.2">
      <c r="A507" s="64" t="s">
        <v>578</v>
      </c>
      <c r="B507" s="257" cm="1">
        <f t="array" aca="1" ref="B507" ca="1">IF(ISBLANK(INDIRECT(MID(_xlfn.FORMULATEXT(C507),2,LEN(_xlfn.FORMULATEXT(C507))-1)))=TRUE,"",C507)</f>
        <v>64</v>
      </c>
      <c r="C507" s="260">
        <f>'CDS-D'!B94</f>
        <v>64</v>
      </c>
      <c r="D507" s="17" t="s">
        <v>524</v>
      </c>
      <c r="E507" s="48">
        <v>52</v>
      </c>
      <c r="F507" s="17" t="s">
        <v>384</v>
      </c>
      <c r="G507" s="17"/>
      <c r="H507" s="27"/>
    </row>
    <row r="508" spans="1:9" ht="17" x14ac:dyDescent="0.2">
      <c r="A508" s="64" t="s">
        <v>579</v>
      </c>
      <c r="B508" s="257" t="str" cm="1">
        <f t="array" aca="1" ref="B508" ca="1">IF(ISBLANK(INDIRECT(MID(_xlfn.FORMULATEXT(C508),2,LEN(_xlfn.FORMULATEXT(C508))-1)))=TRUE,"",C508)</f>
        <v>Credit(s)</v>
      </c>
      <c r="C508" s="65" t="str">
        <f>'CDS-D'!D94</f>
        <v>Credit(s)</v>
      </c>
      <c r="D508" s="17" t="s">
        <v>524</v>
      </c>
      <c r="E508" s="48">
        <v>53</v>
      </c>
      <c r="F508" s="17" t="s">
        <v>21</v>
      </c>
      <c r="G508" s="17"/>
      <c r="H508" s="27"/>
    </row>
    <row r="509" spans="1:9" ht="17" x14ac:dyDescent="0.2">
      <c r="A509" s="64" t="s">
        <v>580</v>
      </c>
      <c r="B509" s="257" t="str" cm="1">
        <f t="array" aca="1" ref="B509" ca="1">IF(ISBLANK(INDIRECT(MID(_xlfn.FORMULATEXT(C509),2,LEN(_xlfn.FORMULATEXT(C509))-1)))=TRUE,"",C509)</f>
        <v/>
      </c>
      <c r="C509" s="260">
        <f>'CDS-D'!B99</f>
        <v>0</v>
      </c>
      <c r="D509" s="17" t="s">
        <v>524</v>
      </c>
      <c r="E509" s="48">
        <v>54</v>
      </c>
      <c r="F509" s="17" t="s">
        <v>384</v>
      </c>
      <c r="G509" s="17"/>
      <c r="H509" s="27"/>
    </row>
    <row r="510" spans="1:9" x14ac:dyDescent="0.2">
      <c r="A510" s="64" t="s">
        <v>581</v>
      </c>
      <c r="B510" s="257" cm="1">
        <f t="array" aca="1" ref="B510" ca="1">IF(ISBLANK(INDIRECT(MID(_xlfn.FORMULATEXT(C510),2,LEN(_xlfn.FORMULATEXT(C510))-1)))=TRUE,"",C510)</f>
        <v>64</v>
      </c>
      <c r="C510" s="260">
        <f>'CDS-D'!B104</f>
        <v>64</v>
      </c>
      <c r="D510" s="17" t="s">
        <v>524</v>
      </c>
      <c r="E510" s="48">
        <v>55</v>
      </c>
      <c r="F510" s="17" t="s">
        <v>384</v>
      </c>
      <c r="G510" s="17"/>
      <c r="H510" s="27"/>
    </row>
    <row r="511" spans="1:9" ht="17" x14ac:dyDescent="0.2">
      <c r="A511" s="64" t="s">
        <v>582</v>
      </c>
      <c r="B511" s="257" t="str" cm="1">
        <f t="array" aca="1" ref="B511" ca="1">IF(ISBLANK(INDIRECT(MID(_xlfn.FORMULATEXT(C511),2,LEN(_xlfn.FORMULATEXT(C511))-1)))=TRUE,"",C511)</f>
        <v/>
      </c>
      <c r="C511" s="75">
        <f>'CDS-D'!F109</f>
        <v>0</v>
      </c>
      <c r="D511" s="17" t="s">
        <v>524</v>
      </c>
      <c r="E511" s="48">
        <v>56</v>
      </c>
      <c r="F511" s="16" t="s">
        <v>34</v>
      </c>
      <c r="G511" s="17"/>
      <c r="H511" s="27"/>
    </row>
    <row r="512" spans="1:9" ht="34" x14ac:dyDescent="0.2">
      <c r="A512" s="64" t="s">
        <v>583</v>
      </c>
      <c r="B512" s="257" t="str" cm="1">
        <f t="array" aca="1" ref="B512" ca="1">IF(ISBLANK(INDIRECT(MID(_xlfn.FORMULATEXT(C512),2,LEN(_xlfn.FORMULATEXT(C512))-1)))=TRUE,"",C512)</f>
        <v>American Council on Education (ACE)|College Level Examination Program (CLEP)|</v>
      </c>
      <c r="C512" s="65" t="str">
        <f>_xlfn.CONCAT('multi select'!M2:M4)</f>
        <v>American Council on Education (ACE)|College Level Examination Program (CLEP)|</v>
      </c>
      <c r="D512" s="17" t="s">
        <v>524</v>
      </c>
      <c r="E512" s="48">
        <v>57</v>
      </c>
      <c r="F512" s="17" t="s">
        <v>539</v>
      </c>
      <c r="G512" s="17"/>
      <c r="H512" s="27"/>
    </row>
    <row r="513" spans="1:8" x14ac:dyDescent="0.2">
      <c r="A513" s="64" t="s">
        <v>584</v>
      </c>
      <c r="B513" s="257" cm="1">
        <f t="array" aca="1" ref="B513" ca="1">IF(ISBLANK(INDIRECT(MID(_xlfn.FORMULATEXT(C513),2,LEN(_xlfn.FORMULATEXT(C513))-1)))=TRUE,"",C513)</f>
        <v>64</v>
      </c>
      <c r="C513" s="65">
        <f>'CDS-D'!C120</f>
        <v>64</v>
      </c>
      <c r="D513" s="17" t="s">
        <v>524</v>
      </c>
      <c r="E513" s="48">
        <v>58</v>
      </c>
      <c r="F513" s="17" t="s">
        <v>384</v>
      </c>
      <c r="G513" s="17"/>
      <c r="H513" s="27"/>
    </row>
    <row r="514" spans="1:8" ht="17" x14ac:dyDescent="0.2">
      <c r="A514" s="64" t="s">
        <v>585</v>
      </c>
      <c r="B514" s="257" t="str" cm="1">
        <f t="array" aca="1" ref="B514" ca="1">IF(ISBLANK(INDIRECT(MID(_xlfn.FORMULATEXT(C514),2,LEN(_xlfn.FORMULATEXT(C514))-1)))=TRUE,"",C514)</f>
        <v>Credit(s)</v>
      </c>
      <c r="C514" s="65" t="str">
        <f>'CDS-D'!E120</f>
        <v>Credit(s)</v>
      </c>
      <c r="D514" s="17" t="s">
        <v>524</v>
      </c>
      <c r="E514" s="48">
        <v>59</v>
      </c>
      <c r="F514" s="17" t="s">
        <v>21</v>
      </c>
      <c r="G514" s="17"/>
      <c r="H514" s="27"/>
    </row>
    <row r="515" spans="1:8" x14ac:dyDescent="0.2">
      <c r="A515" s="64" t="s">
        <v>586</v>
      </c>
      <c r="B515" s="257" cm="1">
        <f t="array" aca="1" ref="B515" ca="1">IF(ISBLANK(INDIRECT(MID(_xlfn.FORMULATEXT(C515),2,LEN(_xlfn.FORMULATEXT(C515))-1)))=TRUE,"",C515)</f>
        <v>20</v>
      </c>
      <c r="C515" s="65">
        <f>'CDS-D'!C125</f>
        <v>20</v>
      </c>
      <c r="D515" s="17" t="s">
        <v>524</v>
      </c>
      <c r="E515" s="48">
        <v>60</v>
      </c>
      <c r="F515" s="17" t="s">
        <v>384</v>
      </c>
      <c r="G515" s="17"/>
      <c r="H515" s="27"/>
    </row>
    <row r="516" spans="1:8" ht="17" x14ac:dyDescent="0.2">
      <c r="A516" s="64" t="s">
        <v>587</v>
      </c>
      <c r="B516" s="257" t="str" cm="1">
        <f t="array" aca="1" ref="B516" ca="1">IF(ISBLANK(INDIRECT(MID(_xlfn.FORMULATEXT(C516),2,LEN(_xlfn.FORMULATEXT(C516))-1)))=TRUE,"",C516)</f>
        <v>Credit(s)</v>
      </c>
      <c r="C516" s="65" t="str">
        <f>'CDS-D'!E125</f>
        <v>Credit(s)</v>
      </c>
      <c r="D516" s="17" t="s">
        <v>524</v>
      </c>
      <c r="E516" s="48">
        <v>61</v>
      </c>
      <c r="F516" s="17" t="s">
        <v>21</v>
      </c>
      <c r="G516" s="17"/>
      <c r="H516" s="27"/>
    </row>
    <row r="517" spans="1:8" ht="17" x14ac:dyDescent="0.2">
      <c r="A517" s="64" t="s">
        <v>588</v>
      </c>
      <c r="B517" s="257" t="str" cm="1">
        <f t="array" aca="1" ref="B517" ca="1">IF(ISBLANK(INDIRECT(MID(_xlfn.FORMULATEXT(C517),2,LEN(_xlfn.FORMULATEXT(C517))-1)))=TRUE,"",C517)</f>
        <v>No</v>
      </c>
      <c r="C517" s="65" t="str">
        <f>'CDS-D'!F128</f>
        <v>No</v>
      </c>
      <c r="D517" s="17" t="s">
        <v>524</v>
      </c>
      <c r="E517" s="48">
        <v>62</v>
      </c>
      <c r="F517" s="17" t="s">
        <v>21</v>
      </c>
      <c r="G517" s="17"/>
      <c r="H517" s="27"/>
    </row>
    <row r="518" spans="1:8" ht="17" x14ac:dyDescent="0.2">
      <c r="A518" s="64" t="s">
        <v>589</v>
      </c>
      <c r="B518" s="257" t="str" cm="1">
        <f t="array" aca="1" ref="B518" ca="1">IF(ISBLANK(INDIRECT(MID(_xlfn.FORMULATEXT(C518),2,LEN(_xlfn.FORMULATEXT(C518))-1)))=TRUE,"",C518)</f>
        <v/>
      </c>
      <c r="C518" s="65">
        <f>'CDS-D'!F131</f>
        <v>0</v>
      </c>
      <c r="D518" s="17" t="s">
        <v>524</v>
      </c>
      <c r="E518" s="48">
        <v>63</v>
      </c>
      <c r="F518" s="17" t="s">
        <v>53</v>
      </c>
      <c r="G518" s="17"/>
      <c r="H518" s="27"/>
    </row>
    <row r="519" spans="1:8" ht="174" customHeight="1" x14ac:dyDescent="0.2">
      <c r="A519" s="64" t="s">
        <v>590</v>
      </c>
      <c r="B519" s="257" t="str" cm="1">
        <f t="array" aca="1" ref="B519" ca="1">IF(ISBLANK(INDIRECT(MID(_xlfn.FORMULATEXT(C519),2,LEN(_xlfn.FORMULATEXT(C519))-1)))=TRUE,"",C519)</f>
        <v/>
      </c>
      <c r="C519" s="75">
        <f>'CDS-D'!F135</f>
        <v>0</v>
      </c>
      <c r="D519" s="17" t="s">
        <v>524</v>
      </c>
      <c r="E519" s="48">
        <v>64</v>
      </c>
      <c r="F519" s="17" t="s">
        <v>34</v>
      </c>
      <c r="G519" s="17"/>
      <c r="H519" s="27"/>
    </row>
    <row r="520" spans="1:8" ht="51" x14ac:dyDescent="0.2">
      <c r="A520" s="64" t="s">
        <v>591</v>
      </c>
      <c r="B520" s="257" t="str" cm="1">
        <f t="array" aca="1" ref="B520" ca="1">IF(ISBLANK(INDIRECT(MID(_xlfn.FORMULATEXT(C520),2,LEN(_xlfn.FORMULATEXT(C520))-1)))=TRUE,"",C520)</f>
        <v>Double major|Dual enrollment|Honors program|Independent study|Internships|Student-designed major|Study abroad|Undergraduate research|Other|</v>
      </c>
      <c r="C520" s="65" t="str">
        <f>_xlfn.CONCAT('multi select'!Q2:Q20)</f>
        <v>Double major|Dual enrollment|Honors program|Independent study|Internships|Student-designed major|Study abroad|Undergraduate research|Other|</v>
      </c>
      <c r="D520" s="17" t="s">
        <v>592</v>
      </c>
      <c r="E520" s="48">
        <v>1</v>
      </c>
      <c r="F520" s="17" t="s">
        <v>539</v>
      </c>
      <c r="G520" s="17"/>
      <c r="H520" s="27"/>
    </row>
    <row r="521" spans="1:8" ht="221" x14ac:dyDescent="0.2">
      <c r="A521" s="64" t="s">
        <v>593</v>
      </c>
      <c r="B521" s="257" t="str" cm="1">
        <f t="array" aca="1" ref="B521" ca="1">IF(ISBLANK(INDIRECT(MID(_xlfn.FORMULATEXT(C521),2,LEN(_xlfn.FORMULATEXT(C521))-1)))=TRUE,"",C521)</f>
        <v>Graduate school partnerships, non-credit internships supported through our career education center, community-engaged and experiential learning,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v>
      </c>
      <c r="C521" s="75" t="str">
        <f>'CDS-E'!D26</f>
        <v>Graduate school partnerships, non-credit internships supported through our career education center, community-engaged and experiential learning,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v>
      </c>
      <c r="D521" s="17" t="s">
        <v>592</v>
      </c>
      <c r="E521" s="48">
        <v>2</v>
      </c>
      <c r="F521" s="17" t="s">
        <v>34</v>
      </c>
      <c r="G521" s="17"/>
      <c r="H521" s="27"/>
    </row>
    <row r="522" spans="1:8" ht="17" x14ac:dyDescent="0.2">
      <c r="A522" s="64" t="s">
        <v>594</v>
      </c>
      <c r="B522" s="257" t="str" cm="1">
        <f t="array" aca="1" ref="B522" ca="1">IF(ISBLANK(INDIRECT(MID(_xlfn.FORMULATEXT(C522),2,LEN(_xlfn.FORMULATEXT(C522))-1)))=TRUE,"",C522)</f>
        <v>Other|</v>
      </c>
      <c r="C522" s="65" t="str">
        <f>_xlfn.CONCAT('multi select'!U2:U14)</f>
        <v>Other|</v>
      </c>
      <c r="D522" s="17" t="s">
        <v>592</v>
      </c>
      <c r="E522" s="48">
        <v>3</v>
      </c>
      <c r="F522" s="17" t="s">
        <v>539</v>
      </c>
      <c r="G522" s="17"/>
      <c r="H522" s="27"/>
    </row>
    <row r="523" spans="1:8" ht="153" x14ac:dyDescent="0.2">
      <c r="A523" s="64" t="s">
        <v>595</v>
      </c>
      <c r="B523" s="257" t="str" cm="1">
        <f t="array" aca="1" ref="B523" ca="1">IF(ISBLANK(INDIRECT(MID(_xlfn.FORMULATEXT(C523),2,LEN(_xlfn.FORMULATEXT(C523))-1)))=TRUE,"",C523)</f>
        <v>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v>
      </c>
      <c r="C523" s="75" t="str">
        <f>'CDS-E'!D46</f>
        <v>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v>
      </c>
      <c r="D523" s="17" t="s">
        <v>592</v>
      </c>
      <c r="E523" s="48">
        <v>4</v>
      </c>
      <c r="F523" s="17" t="s">
        <v>34</v>
      </c>
      <c r="G523" s="17"/>
      <c r="H523" s="27"/>
    </row>
    <row r="524" spans="1:8" x14ac:dyDescent="0.2">
      <c r="A524" s="64" t="s">
        <v>596</v>
      </c>
      <c r="B524" s="257" cm="1">
        <f t="array" aca="1" ref="B524" ca="1">IF(ISBLANK(INDIRECT(MID(_xlfn.FORMULATEXT(G524),2,LEN(_xlfn.FORMULATEXT(G524))-1)))=TRUE,"",C524)</f>
        <v>45.9</v>
      </c>
      <c r="C524" s="260">
        <f>ROUND(TRUNC(G524*100, 1), 1)</f>
        <v>45.9</v>
      </c>
      <c r="D524" s="17" t="s">
        <v>597</v>
      </c>
      <c r="E524" s="48">
        <v>1</v>
      </c>
      <c r="F524" s="17" t="s">
        <v>381</v>
      </c>
      <c r="G524" s="250">
        <f>'CDS-F'!B9</f>
        <v>0.45900000000000002</v>
      </c>
      <c r="H524" s="27"/>
    </row>
    <row r="525" spans="1:8" x14ac:dyDescent="0.2">
      <c r="A525" s="64" t="s">
        <v>598</v>
      </c>
      <c r="B525" s="257" cm="1">
        <f t="array" aca="1" ref="B525" ca="1">IF(ISBLANK(INDIRECT(MID(_xlfn.FORMULATEXT(G525),2,LEN(_xlfn.FORMULATEXT(G525))-1)))=TRUE,"",C525)</f>
        <v>0</v>
      </c>
      <c r="C525" s="260">
        <f t="shared" ref="C525:C529" si="12">ROUND(TRUNC(G525*100, 1), 1)</f>
        <v>0</v>
      </c>
      <c r="D525" s="17" t="s">
        <v>597</v>
      </c>
      <c r="E525" s="48">
        <v>2</v>
      </c>
      <c r="F525" s="17" t="s">
        <v>381</v>
      </c>
      <c r="G525" s="250">
        <f>'CDS-F'!B10</f>
        <v>0</v>
      </c>
      <c r="H525" s="27"/>
    </row>
    <row r="526" spans="1:8" x14ac:dyDescent="0.2">
      <c r="A526" s="64" t="s">
        <v>599</v>
      </c>
      <c r="B526" s="257" cm="1">
        <f t="array" aca="1" ref="B526" ca="1">IF(ISBLANK(INDIRECT(MID(_xlfn.FORMULATEXT(G526),2,LEN(_xlfn.FORMULATEXT(G526))-1)))=TRUE,"",C526)</f>
        <v>0</v>
      </c>
      <c r="C526" s="260">
        <f t="shared" si="12"/>
        <v>0</v>
      </c>
      <c r="D526" s="17" t="s">
        <v>597</v>
      </c>
      <c r="E526" s="48">
        <v>3</v>
      </c>
      <c r="F526" s="17" t="s">
        <v>381</v>
      </c>
      <c r="G526" s="250">
        <f>'CDS-F'!B11</f>
        <v>0</v>
      </c>
    </row>
    <row r="527" spans="1:8" x14ac:dyDescent="0.2">
      <c r="A527" s="64" t="s">
        <v>600</v>
      </c>
      <c r="B527" s="257" cm="1">
        <f t="array" aca="1" ref="B527" ca="1">IF(ISBLANK(INDIRECT(MID(_xlfn.FORMULATEXT(G527),2,LEN(_xlfn.FORMULATEXT(G527))-1)))=TRUE,"",C527)</f>
        <v>93.6</v>
      </c>
      <c r="C527" s="260">
        <f t="shared" si="12"/>
        <v>93.6</v>
      </c>
      <c r="D527" s="17" t="s">
        <v>597</v>
      </c>
      <c r="E527" s="48">
        <v>4</v>
      </c>
      <c r="F527" s="17" t="s">
        <v>381</v>
      </c>
      <c r="G527" s="250">
        <f>'CDS-F'!B12</f>
        <v>0.93600000000000005</v>
      </c>
      <c r="H527" s="27"/>
    </row>
    <row r="528" spans="1:8" x14ac:dyDescent="0.2">
      <c r="A528" s="64" t="s">
        <v>601</v>
      </c>
      <c r="B528" s="257" cm="1">
        <f t="array" aca="1" ref="B528" ca="1">IF(ISBLANK(INDIRECT(MID(_xlfn.FORMULATEXT(G528),2,LEN(_xlfn.FORMULATEXT(G528))-1)))=TRUE,"",C528)</f>
        <v>6.4</v>
      </c>
      <c r="C528" s="260">
        <f t="shared" si="12"/>
        <v>6.4</v>
      </c>
      <c r="D528" s="17" t="s">
        <v>597</v>
      </c>
      <c r="E528" s="48">
        <v>5</v>
      </c>
      <c r="F528" s="17" t="s">
        <v>381</v>
      </c>
      <c r="G528" s="250">
        <f>'CDS-F'!B13</f>
        <v>6.4000000000000001E-2</v>
      </c>
      <c r="H528" s="27"/>
    </row>
    <row r="529" spans="1:9" x14ac:dyDescent="0.2">
      <c r="A529" s="64" t="s">
        <v>602</v>
      </c>
      <c r="B529" s="257" cm="1">
        <f t="array" aca="1" ref="B529" ca="1">IF(ISBLANK(INDIRECT(MID(_xlfn.FORMULATEXT(G529),2,LEN(_xlfn.FORMULATEXT(G529))-1)))=TRUE,"",C529)</f>
        <v>0.4</v>
      </c>
      <c r="C529" s="260">
        <f t="shared" si="12"/>
        <v>0.4</v>
      </c>
      <c r="D529" s="17" t="s">
        <v>597</v>
      </c>
      <c r="E529" s="48">
        <v>6</v>
      </c>
      <c r="F529" s="17" t="s">
        <v>381</v>
      </c>
      <c r="G529" s="250">
        <f>'CDS-F'!B14</f>
        <v>4.0000000000000001E-3</v>
      </c>
      <c r="H529" s="27"/>
    </row>
    <row r="530" spans="1:9" x14ac:dyDescent="0.2">
      <c r="A530" s="64" t="s">
        <v>603</v>
      </c>
      <c r="B530" s="257" cm="1">
        <f t="array" aca="1" ref="B530" ca="1">IF(ISBLANK(INDIRECT(MID(_xlfn.FORMULATEXT(C530),2,LEN(_xlfn.FORMULATEXT(C530))-1)))=TRUE,"",C530)</f>
        <v>18</v>
      </c>
      <c r="C530" s="80">
        <f>'CDS-F'!B15</f>
        <v>18</v>
      </c>
      <c r="D530" s="17" t="s">
        <v>597</v>
      </c>
      <c r="E530" s="48">
        <v>7</v>
      </c>
      <c r="F530" s="17" t="s">
        <v>384</v>
      </c>
      <c r="G530" s="251"/>
      <c r="H530" s="27"/>
    </row>
    <row r="531" spans="1:9" x14ac:dyDescent="0.2">
      <c r="A531" s="64" t="s">
        <v>604</v>
      </c>
      <c r="B531" s="257" cm="1">
        <f t="array" aca="1" ref="B531" ca="1">IF(ISBLANK(INDIRECT(MID(_xlfn.FORMULATEXT(C531),2,LEN(_xlfn.FORMULATEXT(C531))-1)))=TRUE,"",C531)</f>
        <v>18</v>
      </c>
      <c r="C531" s="80">
        <f>'CDS-F'!B16</f>
        <v>18</v>
      </c>
      <c r="D531" s="17" t="s">
        <v>597</v>
      </c>
      <c r="E531" s="48">
        <v>8</v>
      </c>
      <c r="F531" s="17" t="s">
        <v>384</v>
      </c>
      <c r="G531" s="251"/>
      <c r="H531" s="27"/>
    </row>
    <row r="532" spans="1:9" x14ac:dyDescent="0.2">
      <c r="A532" s="64" t="s">
        <v>605</v>
      </c>
      <c r="B532" s="257" cm="1">
        <f t="array" aca="1" ref="B532" ca="1">IF(ISBLANK(INDIRECT(MID(_xlfn.FORMULATEXT(G532),2,LEN(_xlfn.FORMULATEXT(G532))-1)))=TRUE,"",C532)</f>
        <v>49.1</v>
      </c>
      <c r="C532" s="260">
        <f>ROUND(TRUNC(G532*100, 1), 1)</f>
        <v>49.1</v>
      </c>
      <c r="D532" s="17" t="s">
        <v>597</v>
      </c>
      <c r="E532" s="48">
        <v>9</v>
      </c>
      <c r="F532" s="17" t="s">
        <v>381</v>
      </c>
      <c r="G532" s="250">
        <f>'CDS-F'!C9</f>
        <v>0.49099999999999999</v>
      </c>
      <c r="H532" s="27"/>
    </row>
    <row r="533" spans="1:9" x14ac:dyDescent="0.2">
      <c r="A533" s="64" t="s">
        <v>606</v>
      </c>
      <c r="B533" s="257" cm="1">
        <f t="array" aca="1" ref="B533" ca="1">IF(ISBLANK(INDIRECT(MID(_xlfn.FORMULATEXT(G533),2,LEN(_xlfn.FORMULATEXT(G533))-1)))=TRUE,"",C533)</f>
        <v>4.9000000000000004</v>
      </c>
      <c r="C533" s="260">
        <f t="shared" ref="C533:C537" si="13">ROUND(TRUNC(G533*100, 1), 1)</f>
        <v>4.9000000000000004</v>
      </c>
      <c r="D533" s="17" t="s">
        <v>597</v>
      </c>
      <c r="E533" s="48">
        <v>10</v>
      </c>
      <c r="F533" s="17" t="s">
        <v>381</v>
      </c>
      <c r="G533" s="250">
        <f>'CDS-F'!C10</f>
        <v>4.9000000000000002E-2</v>
      </c>
      <c r="H533" s="27"/>
    </row>
    <row r="534" spans="1:9" x14ac:dyDescent="0.2">
      <c r="A534" s="64" t="s">
        <v>607</v>
      </c>
      <c r="B534" s="257" cm="1">
        <f t="array" aca="1" ref="B534" ca="1">IF(ISBLANK(INDIRECT(MID(_xlfn.FORMULATEXT(G534),2,LEN(_xlfn.FORMULATEXT(G534))-1)))=TRUE,"",C534)</f>
        <v>2.7</v>
      </c>
      <c r="C534" s="260">
        <f t="shared" si="13"/>
        <v>2.7</v>
      </c>
      <c r="D534" s="17" t="s">
        <v>597</v>
      </c>
      <c r="E534" s="48">
        <v>11</v>
      </c>
      <c r="F534" s="17" t="s">
        <v>381</v>
      </c>
      <c r="G534" s="250">
        <f>'CDS-F'!C11</f>
        <v>2.7E-2</v>
      </c>
      <c r="H534" s="27"/>
    </row>
    <row r="535" spans="1:9" x14ac:dyDescent="0.2">
      <c r="A535" s="64" t="s">
        <v>608</v>
      </c>
      <c r="B535" s="257" cm="1">
        <f t="array" aca="1" ref="B535" ca="1">IF(ISBLANK(INDIRECT(MID(_xlfn.FORMULATEXT(G535),2,LEN(_xlfn.FORMULATEXT(G535))-1)))=TRUE,"",C535)</f>
        <v>90.4</v>
      </c>
      <c r="C535" s="260">
        <f t="shared" si="13"/>
        <v>90.4</v>
      </c>
      <c r="D535" s="17" t="s">
        <v>597</v>
      </c>
      <c r="E535" s="48">
        <v>12</v>
      </c>
      <c r="F535" s="17" t="s">
        <v>381</v>
      </c>
      <c r="G535" s="250">
        <f>'CDS-F'!C12</f>
        <v>0.90400000000000003</v>
      </c>
      <c r="H535" s="27"/>
    </row>
    <row r="536" spans="1:9" x14ac:dyDescent="0.2">
      <c r="A536" s="64" t="s">
        <v>609</v>
      </c>
      <c r="B536" s="257" cm="1">
        <f t="array" aca="1" ref="B536" ca="1">IF(ISBLANK(INDIRECT(MID(_xlfn.FORMULATEXT(G536),2,LEN(_xlfn.FORMULATEXT(G536))-1)))=TRUE,"",C536)</f>
        <v>9.6</v>
      </c>
      <c r="C536" s="260">
        <f t="shared" si="13"/>
        <v>9.6</v>
      </c>
      <c r="D536" s="17" t="s">
        <v>597</v>
      </c>
      <c r="E536" s="48">
        <v>13</v>
      </c>
      <c r="F536" s="17" t="s">
        <v>381</v>
      </c>
      <c r="G536" s="250">
        <f>'CDS-F'!C13</f>
        <v>9.6000000000000002E-2</v>
      </c>
      <c r="H536" s="27"/>
    </row>
    <row r="537" spans="1:9" x14ac:dyDescent="0.2">
      <c r="A537" s="64" t="s">
        <v>610</v>
      </c>
      <c r="B537" s="257" cm="1">
        <f t="array" aca="1" ref="B537" ca="1">IF(ISBLANK(INDIRECT(MID(_xlfn.FORMULATEXT(G537),2,LEN(_xlfn.FORMULATEXT(G537))-1)))=TRUE,"",C537)</f>
        <v>1.5</v>
      </c>
      <c r="C537" s="260">
        <f t="shared" si="13"/>
        <v>1.5</v>
      </c>
      <c r="D537" s="17" t="s">
        <v>597</v>
      </c>
      <c r="E537" s="48">
        <v>14</v>
      </c>
      <c r="F537" s="17" t="s">
        <v>381</v>
      </c>
      <c r="G537" s="250">
        <f>'CDS-F'!C14</f>
        <v>1.4999999999999999E-2</v>
      </c>
      <c r="H537" s="27"/>
    </row>
    <row r="538" spans="1:9" x14ac:dyDescent="0.2">
      <c r="A538" s="64" t="s">
        <v>611</v>
      </c>
      <c r="B538" s="257" cm="1">
        <f t="array" aca="1" ref="B538" ca="1">IF(ISBLANK(INDIRECT(MID(_xlfn.FORMULATEXT(C538),2,LEN(_xlfn.FORMULATEXT(C538))-1)))=TRUE,"",C538)</f>
        <v>20</v>
      </c>
      <c r="C538" s="80">
        <f>'CDS-F'!C15</f>
        <v>20</v>
      </c>
      <c r="D538" s="17" t="s">
        <v>597</v>
      </c>
      <c r="E538" s="48">
        <v>15</v>
      </c>
      <c r="F538" s="17" t="s">
        <v>384</v>
      </c>
      <c r="G538" s="17"/>
      <c r="H538" s="27"/>
    </row>
    <row r="539" spans="1:9" x14ac:dyDescent="0.2">
      <c r="A539" s="64" t="s">
        <v>612</v>
      </c>
      <c r="B539" s="257" cm="1">
        <f t="array" aca="1" ref="B539" ca="1">IF(ISBLANK(INDIRECT(MID(_xlfn.FORMULATEXT(C539),2,LEN(_xlfn.FORMULATEXT(C539))-1)))=TRUE,"",C539)</f>
        <v>20</v>
      </c>
      <c r="C539" s="80">
        <f>'CDS-F'!C16</f>
        <v>20</v>
      </c>
      <c r="D539" s="17" t="s">
        <v>597</v>
      </c>
      <c r="E539" s="48">
        <v>16</v>
      </c>
      <c r="F539" s="17" t="s">
        <v>384</v>
      </c>
      <c r="G539" s="17"/>
      <c r="H539" s="27"/>
    </row>
    <row r="540" spans="1:9" ht="60" customHeight="1" x14ac:dyDescent="0.2">
      <c r="A540" s="64" t="s">
        <v>613</v>
      </c>
      <c r="B540" s="257" t="str" cm="1">
        <f t="array" aca="1" ref="B540" ca="1">IF(ISBLANK(INDIRECT(MID(_xlfn.FORMULATEXT(C540),2,LEN(_xlfn.FORMULATEXT(C540))-1)))=TRUE,"",C540)</f>
        <v>Campus Ministries|Choral groups|Concert band|Dance|Drama/theater|International Student Organization|Jazz band|Literary magazine|Model UN|Music ensembles|Pep band|Radio station|Student government|Student newspaper|Symphony orchestra|Television station|</v>
      </c>
      <c r="C540" s="65" t="str">
        <f>_xlfn.CONCAT('multi select'!Y2:Y21)</f>
        <v>Campus Ministries|Choral groups|Concert band|Dance|Drama/theater|International Student Organization|Jazz band|Literary magazine|Model UN|Music ensembles|Pep band|Radio station|Student government|Student newspaper|Symphony orchestra|Television station|</v>
      </c>
      <c r="D540" s="17" t="s">
        <v>597</v>
      </c>
      <c r="E540" s="48">
        <v>17</v>
      </c>
      <c r="F540" s="17" t="s">
        <v>539</v>
      </c>
      <c r="G540" s="17"/>
      <c r="H540" s="27" t="s">
        <v>614</v>
      </c>
    </row>
    <row r="541" spans="1:9" ht="17" x14ac:dyDescent="0.2">
      <c r="A541" s="64" t="s">
        <v>615</v>
      </c>
      <c r="B541" s="257" t="str" cm="1">
        <f t="array" aca="1" ref="B541" ca="1">IF(ISBLANK(INDIRECT(MID(_xlfn.FORMULATEXT(C541),2,LEN(_xlfn.FORMULATEXT(C541))-1)))=TRUE,"",C541)</f>
        <v>At cooperating institution|</v>
      </c>
      <c r="C541" s="65" t="str">
        <f>_xlfn.CONCAT('multi select'!AB2:AB3)</f>
        <v>At cooperating institution|</v>
      </c>
      <c r="D541" s="17" t="s">
        <v>597</v>
      </c>
      <c r="E541" s="48">
        <v>18</v>
      </c>
      <c r="F541" s="17" t="s">
        <v>539</v>
      </c>
      <c r="G541" s="17"/>
      <c r="H541" s="27" t="s">
        <v>616</v>
      </c>
    </row>
    <row r="542" spans="1:9" ht="17" x14ac:dyDescent="0.2">
      <c r="A542" s="64" t="s">
        <v>617</v>
      </c>
      <c r="B542" s="257" t="str" cm="1">
        <f t="array" aca="1" ref="B542" ca="1">IF(ISBLANK(INDIRECT(MID(_xlfn.FORMULATEXT(C542),2,LEN(_xlfn.FORMULATEXT(C542))-1)))=TRUE,"",C542)</f>
        <v>DON'T COLLECT FOR BFCP</v>
      </c>
      <c r="C542" s="265" t="s">
        <v>618</v>
      </c>
      <c r="D542" s="17" t="s">
        <v>597</v>
      </c>
      <c r="E542" s="48">
        <v>19</v>
      </c>
      <c r="F542" s="17" t="s">
        <v>34</v>
      </c>
      <c r="G542" s="17"/>
      <c r="H542" t="s">
        <v>619</v>
      </c>
      <c r="I542" s="17" t="s">
        <v>620</v>
      </c>
    </row>
    <row r="543" spans="1:9" ht="17" x14ac:dyDescent="0.2">
      <c r="A543" s="64" t="s">
        <v>621</v>
      </c>
      <c r="B543" s="257" t="str" cm="1">
        <f t="array" aca="1" ref="B543" ca="1">IF(ISBLANK(INDIRECT(MID(_xlfn.FORMULATEXT(C543),2,LEN(_xlfn.FORMULATEXT(C543))-1)))=TRUE,"",C543)</f>
        <v/>
      </c>
      <c r="C543" s="65" t="str">
        <f>_xlfn.CONCAT('multi select'!AB5:AB7)</f>
        <v/>
      </c>
      <c r="D543" s="17" t="s">
        <v>597</v>
      </c>
      <c r="E543" s="48">
        <v>20</v>
      </c>
      <c r="F543" s="17" t="s">
        <v>539</v>
      </c>
      <c r="G543" s="17"/>
      <c r="H543" t="s">
        <v>622</v>
      </c>
    </row>
    <row r="544" spans="1:9" ht="17" x14ac:dyDescent="0.2">
      <c r="A544" s="64" t="s">
        <v>617</v>
      </c>
      <c r="B544" s="257" t="str" cm="1">
        <f t="array" aca="1" ref="B544" ca="1">IF(ISBLANK(INDIRECT(MID(_xlfn.FORMULATEXT(C544),2,LEN(_xlfn.FORMULATEXT(C544))-1)))=TRUE,"",C544)</f>
        <v>DON'T COLLECT FOR BFCP</v>
      </c>
      <c r="C544" s="265" t="s">
        <v>618</v>
      </c>
      <c r="D544" s="17" t="s">
        <v>597</v>
      </c>
      <c r="E544" s="48">
        <v>21</v>
      </c>
      <c r="F544" s="17" t="s">
        <v>34</v>
      </c>
      <c r="G544" s="17"/>
      <c r="H544" s="27" t="s">
        <v>623</v>
      </c>
      <c r="I544" s="17" t="s">
        <v>620</v>
      </c>
    </row>
    <row r="545" spans="1:9" ht="17" x14ac:dyDescent="0.2">
      <c r="A545" s="64" t="s">
        <v>624</v>
      </c>
      <c r="B545" s="257" t="str" cm="1">
        <f t="array" aca="1" ref="B545" ca="1">IF(ISBLANK(INDIRECT(MID(_xlfn.FORMULATEXT(C545),2,LEN(_xlfn.FORMULATEXT(C545))-1)))=TRUE,"",C545)</f>
        <v/>
      </c>
      <c r="C545" s="65" t="str">
        <f>_xlfn.CONCAT('multi select'!AB9:AB10)</f>
        <v/>
      </c>
      <c r="D545" s="17" t="s">
        <v>597</v>
      </c>
      <c r="E545" s="48">
        <v>22</v>
      </c>
      <c r="F545" s="17" t="s">
        <v>539</v>
      </c>
      <c r="G545" s="17"/>
      <c r="H545" t="s">
        <v>625</v>
      </c>
    </row>
    <row r="546" spans="1:9" ht="17" x14ac:dyDescent="0.2">
      <c r="A546" s="44" t="s">
        <v>617</v>
      </c>
      <c r="B546" s="257" t="str" cm="1">
        <f t="array" aca="1" ref="B546" ca="1">IF(ISBLANK(INDIRECT(MID(_xlfn.FORMULATEXT(C546),2,LEN(_xlfn.FORMULATEXT(C546))-1)))=TRUE,"",C546)</f>
        <v>DON'T COLLECT FOR BFCP</v>
      </c>
      <c r="C546" s="265" t="s">
        <v>618</v>
      </c>
      <c r="D546" s="17" t="s">
        <v>597</v>
      </c>
      <c r="E546" s="48">
        <v>23</v>
      </c>
      <c r="F546" s="17" t="s">
        <v>34</v>
      </c>
      <c r="G546" s="17"/>
      <c r="H546" t="s">
        <v>619</v>
      </c>
      <c r="I546" s="17" t="s">
        <v>620</v>
      </c>
    </row>
    <row r="547" spans="1:9" ht="68" x14ac:dyDescent="0.2">
      <c r="A547" s="44" t="s">
        <v>626</v>
      </c>
      <c r="B547" s="257" t="str" cm="1">
        <f t="array" aca="1" ref="B547" ca="1">IF(ISBLANK(INDIRECT(MID(_xlfn.FORMULATEXT(C547),2,LEN(_xlfn.FORMULATEXT(C547))-1)))=TRUE,"",C547)</f>
        <v>Apartments for single students|Coed residence halls|Fraternity/sorority housing|Men's residence halls|Special housing for students with disabilities|Theme housing|Women's residence halls|</v>
      </c>
      <c r="C547" s="65" t="str">
        <f>_xlfn.CONCAT('multi select'!AE2:AE13)</f>
        <v>Apartments for single students|Coed residence halls|Fraternity/sorority housing|Men's residence halls|Special housing for students with disabilities|Theme housing|Women's residence halls|</v>
      </c>
      <c r="D547" s="17" t="s">
        <v>597</v>
      </c>
      <c r="E547" s="48">
        <v>24</v>
      </c>
      <c r="F547" s="17" t="s">
        <v>539</v>
      </c>
      <c r="G547" s="17"/>
      <c r="H547" t="s">
        <v>627</v>
      </c>
    </row>
    <row r="548" spans="1:9" ht="17" x14ac:dyDescent="0.2">
      <c r="A548" s="44" t="s">
        <v>628</v>
      </c>
      <c r="B548" s="257" t="str" cm="1">
        <f t="array" aca="1" ref="B548" ca="1">IF(ISBLANK(INDIRECT(MID(_xlfn.FORMULATEXT(C548),2,LEN(_xlfn.FORMULATEXT(C548))-1)))=TRUE,"",C548)</f>
        <v/>
      </c>
      <c r="C548" s="75">
        <f>'CDS-F'!A75</f>
        <v>0</v>
      </c>
      <c r="D548" s="17" t="s">
        <v>597</v>
      </c>
      <c r="E548" s="48">
        <v>25</v>
      </c>
      <c r="F548" s="17" t="s">
        <v>34</v>
      </c>
      <c r="G548" s="17"/>
      <c r="H548" t="s">
        <v>629</v>
      </c>
    </row>
    <row r="549" spans="1:9" ht="17" x14ac:dyDescent="0.2">
      <c r="A549" s="44" t="s">
        <v>2320</v>
      </c>
      <c r="B549" s="257" t="str" cm="1">
        <f t="array" aca="1" ref="B549" ca="1">IF(ISBLANK(INDIRECT(MID(_xlfn.FORMULATEXT(C549),2,LEN(_xlfn.FORMULATEXT(C549))-1)))=TRUE,"",C549)</f>
        <v>https://app.meadowfi.com/allegheny</v>
      </c>
      <c r="C549" s="75" t="str">
        <f>'CDS-G'!B5</f>
        <v>https://app.meadowfi.com/allegheny</v>
      </c>
      <c r="D549" s="17" t="s">
        <v>630</v>
      </c>
      <c r="E549" s="48">
        <v>1</v>
      </c>
      <c r="F549" s="17" t="s">
        <v>34</v>
      </c>
      <c r="G549" s="17"/>
    </row>
    <row r="550" spans="1:9" ht="17" x14ac:dyDescent="0.2">
      <c r="A550" s="44" t="s">
        <v>631</v>
      </c>
      <c r="B550" s="257" t="str" cm="1">
        <f t="array" aca="1" ref="B550" ca="1">IF(ISBLANK(INDIRECT(MID(_xlfn.FORMULATEXT(C550),2,LEN(_xlfn.FORMULATEXT(C550))-1)))=TRUE,"",C550)</f>
        <v>Firm and Final</v>
      </c>
      <c r="C550" s="65" t="str">
        <f>'CDS-G'!C9</f>
        <v>Firm and Final</v>
      </c>
      <c r="D550" s="17" t="s">
        <v>630</v>
      </c>
      <c r="E550" s="48">
        <v>2</v>
      </c>
      <c r="F550" s="17" t="s">
        <v>21</v>
      </c>
      <c r="G550" s="17"/>
    </row>
    <row r="551" spans="1:9" x14ac:dyDescent="0.2">
      <c r="A551" s="44" t="s">
        <v>632</v>
      </c>
      <c r="B551" s="257" cm="1">
        <f t="array" aca="1" ref="B551" ca="1">IF(ISBLANK(INDIRECT(MID(_xlfn.FORMULATEXT(C551),2,LEN(_xlfn.FORMULATEXT(C551))-1)))=TRUE,"",C551)</f>
        <v>54300</v>
      </c>
      <c r="C551" s="167">
        <f>'CDS-G'!C24</f>
        <v>54300</v>
      </c>
      <c r="D551" s="17" t="s">
        <v>630</v>
      </c>
      <c r="E551" s="48">
        <v>3</v>
      </c>
      <c r="F551" s="17" t="s">
        <v>492</v>
      </c>
      <c r="G551" s="17"/>
    </row>
    <row r="552" spans="1:9" ht="17" x14ac:dyDescent="0.2">
      <c r="A552" s="44" t="s">
        <v>633</v>
      </c>
      <c r="B552" s="257" t="str" cm="1">
        <f t="array" aca="1" ref="B552" ca="1">IF(ISBLANK(INDIRECT(MID(_xlfn.FORMULATEXT(C552),2,LEN(_xlfn.FORMULATEXT(C552))-1)))=TRUE,"",C552)</f>
        <v/>
      </c>
      <c r="C552" s="167">
        <f>'CDS-G'!C26</f>
        <v>0</v>
      </c>
      <c r="D552" s="17" t="s">
        <v>630</v>
      </c>
      <c r="E552" s="48">
        <v>4</v>
      </c>
      <c r="F552" s="17" t="s">
        <v>492</v>
      </c>
      <c r="G552" s="17"/>
    </row>
    <row r="553" spans="1:9" ht="17" x14ac:dyDescent="0.2">
      <c r="A553" s="44" t="s">
        <v>634</v>
      </c>
      <c r="B553" s="257" t="str" cm="1">
        <f t="array" aca="1" ref="B553" ca="1">IF(ISBLANK(INDIRECT(MID(_xlfn.FORMULATEXT(C553),2,LEN(_xlfn.FORMULATEXT(C553))-1)))=TRUE,"",C553)</f>
        <v/>
      </c>
      <c r="C553" s="167">
        <f>'CDS-G'!C27</f>
        <v>0</v>
      </c>
      <c r="D553" s="17" t="s">
        <v>630</v>
      </c>
      <c r="E553" s="48">
        <v>5</v>
      </c>
      <c r="F553" s="17" t="s">
        <v>492</v>
      </c>
      <c r="G553" s="17"/>
    </row>
    <row r="554" spans="1:9" ht="17" x14ac:dyDescent="0.2">
      <c r="A554" s="44" t="s">
        <v>635</v>
      </c>
      <c r="B554" s="257" t="str" cm="1">
        <f t="array" aca="1" ref="B554" ca="1">IF(ISBLANK(INDIRECT(MID(_xlfn.FORMULATEXT(C554),2,LEN(_xlfn.FORMULATEXT(C554))-1)))=TRUE,"",C554)</f>
        <v/>
      </c>
      <c r="C554" s="167">
        <f>'CDS-G'!C28</f>
        <v>0</v>
      </c>
      <c r="D554" s="17" t="s">
        <v>630</v>
      </c>
      <c r="E554" s="48">
        <v>6</v>
      </c>
      <c r="F554" s="17" t="s">
        <v>492</v>
      </c>
      <c r="G554" s="17"/>
    </row>
    <row r="555" spans="1:9" ht="17" x14ac:dyDescent="0.2">
      <c r="A555" s="44" t="s">
        <v>636</v>
      </c>
      <c r="B555" s="257" t="str" cm="1">
        <f t="array" aca="1" ref="B555" ca="1">IF(ISBLANK(INDIRECT(MID(_xlfn.FORMULATEXT(C555),2,LEN(_xlfn.FORMULATEXT(C555))-1)))=TRUE,"",C555)</f>
        <v/>
      </c>
      <c r="C555" s="167">
        <f>'CDS-G'!C29</f>
        <v>0</v>
      </c>
      <c r="D555" s="17" t="s">
        <v>630</v>
      </c>
      <c r="E555" s="48">
        <v>7</v>
      </c>
      <c r="F555" s="17" t="s">
        <v>492</v>
      </c>
      <c r="G555" s="17"/>
    </row>
    <row r="556" spans="1:9" x14ac:dyDescent="0.2">
      <c r="A556" s="44" t="s">
        <v>637</v>
      </c>
      <c r="B556" s="257" cm="1">
        <f t="array" aca="1" ref="B556" ca="1">IF(ISBLANK(INDIRECT(MID(_xlfn.FORMULATEXT(C556),2,LEN(_xlfn.FORMULATEXT(C556))-1)))=TRUE,"",C556)</f>
        <v>660</v>
      </c>
      <c r="C556" s="167">
        <f>'CDS-G'!C31</f>
        <v>660</v>
      </c>
      <c r="D556" s="17" t="s">
        <v>630</v>
      </c>
      <c r="E556" s="48">
        <v>8</v>
      </c>
      <c r="F556" s="17" t="s">
        <v>492</v>
      </c>
      <c r="G556" s="17"/>
    </row>
    <row r="557" spans="1:9" x14ac:dyDescent="0.2">
      <c r="A557" s="44" t="s">
        <v>638</v>
      </c>
      <c r="B557" s="257" cm="1">
        <f t="array" aca="1" ref="B557" ca="1">IF(ISBLANK(INDIRECT(MID(_xlfn.FORMULATEXT(C557),2,LEN(_xlfn.FORMULATEXT(C557))-1)))=TRUE,"",C557)</f>
        <v>14868</v>
      </c>
      <c r="C557" s="167">
        <f>'CDS-G'!C32</f>
        <v>14868</v>
      </c>
      <c r="D557" s="17" t="s">
        <v>630</v>
      </c>
      <c r="E557" s="48">
        <v>9</v>
      </c>
      <c r="F557" s="17" t="s">
        <v>492</v>
      </c>
      <c r="G557" s="17"/>
    </row>
    <row r="558" spans="1:9" x14ac:dyDescent="0.2">
      <c r="A558" s="44" t="s">
        <v>639</v>
      </c>
      <c r="B558" s="257" cm="1">
        <f t="array" aca="1" ref="B558" ca="1">IF(ISBLANK(INDIRECT(MID(_xlfn.FORMULATEXT(C558),2,LEN(_xlfn.FORMULATEXT(C558))-1)))=TRUE,"",C558)</f>
        <v>7278</v>
      </c>
      <c r="C558" s="167">
        <f>'CDS-G'!C33</f>
        <v>7278</v>
      </c>
      <c r="D558" s="17" t="s">
        <v>630</v>
      </c>
      <c r="E558" s="48">
        <v>10</v>
      </c>
      <c r="F558" s="17" t="s">
        <v>492</v>
      </c>
      <c r="G558" s="17"/>
    </row>
    <row r="559" spans="1:9" x14ac:dyDescent="0.2">
      <c r="A559" s="44" t="s">
        <v>640</v>
      </c>
      <c r="B559" s="257" cm="1">
        <f t="array" aca="1" ref="B559" ca="1">IF(ISBLANK(INDIRECT(MID(_xlfn.FORMULATEXT(C559),2,LEN(_xlfn.FORMULATEXT(C559))-1)))=TRUE,"",C559)</f>
        <v>7590</v>
      </c>
      <c r="C559" s="167">
        <f>'CDS-G'!C34</f>
        <v>7590</v>
      </c>
      <c r="D559" s="17" t="s">
        <v>630</v>
      </c>
      <c r="E559" s="48">
        <v>11</v>
      </c>
      <c r="F559" s="17" t="s">
        <v>492</v>
      </c>
      <c r="G559" s="17"/>
    </row>
    <row r="560" spans="1:9" x14ac:dyDescent="0.2">
      <c r="A560" s="44" t="s">
        <v>641</v>
      </c>
      <c r="B560" s="257" cm="1">
        <f t="array" aca="1" ref="B560" ca="1">IF(ISBLANK(INDIRECT(MID(_xlfn.FORMULATEXT(C560),2,LEN(_xlfn.FORMULATEXT(C560))-1)))=TRUE,"",C560)</f>
        <v>54300</v>
      </c>
      <c r="C560" s="167">
        <f>'CDS-G'!D24</f>
        <v>54300</v>
      </c>
      <c r="D560" s="17" t="s">
        <v>630</v>
      </c>
      <c r="E560" s="48">
        <v>12</v>
      </c>
      <c r="F560" s="17" t="s">
        <v>492</v>
      </c>
      <c r="G560" s="17"/>
    </row>
    <row r="561" spans="1:7" ht="17" x14ac:dyDescent="0.2">
      <c r="A561" s="44" t="s">
        <v>642</v>
      </c>
      <c r="B561" s="257" t="str" cm="1">
        <f t="array" aca="1" ref="B561" ca="1">IF(ISBLANK(INDIRECT(MID(_xlfn.FORMULATEXT(C561),2,LEN(_xlfn.FORMULATEXT(C561))-1)))=TRUE,"",C561)</f>
        <v/>
      </c>
      <c r="C561" s="167">
        <f>'CDS-G'!D26</f>
        <v>0</v>
      </c>
      <c r="D561" s="17" t="s">
        <v>630</v>
      </c>
      <c r="E561" s="48">
        <v>13</v>
      </c>
      <c r="F561" s="17" t="s">
        <v>492</v>
      </c>
      <c r="G561" s="17"/>
    </row>
    <row r="562" spans="1:7" ht="17" x14ac:dyDescent="0.2">
      <c r="A562" s="44" t="s">
        <v>643</v>
      </c>
      <c r="B562" s="257" t="str" cm="1">
        <f t="array" aca="1" ref="B562" ca="1">IF(ISBLANK(INDIRECT(MID(_xlfn.FORMULATEXT(C562),2,LEN(_xlfn.FORMULATEXT(C562))-1)))=TRUE,"",C562)</f>
        <v/>
      </c>
      <c r="C562" s="167">
        <f>'CDS-G'!D27</f>
        <v>0</v>
      </c>
      <c r="D562" s="17" t="s">
        <v>630</v>
      </c>
      <c r="E562" s="48">
        <v>14</v>
      </c>
      <c r="F562" s="17" t="s">
        <v>492</v>
      </c>
      <c r="G562" s="17"/>
    </row>
    <row r="563" spans="1:7" ht="17" x14ac:dyDescent="0.2">
      <c r="A563" s="44" t="s">
        <v>644</v>
      </c>
      <c r="B563" s="257" t="str" cm="1">
        <f t="array" aca="1" ref="B563" ca="1">IF(ISBLANK(INDIRECT(MID(_xlfn.FORMULATEXT(C563),2,LEN(_xlfn.FORMULATEXT(C563))-1)))=TRUE,"",C563)</f>
        <v/>
      </c>
      <c r="C563" s="167">
        <f>'CDS-G'!D28</f>
        <v>0</v>
      </c>
      <c r="D563" s="17" t="s">
        <v>630</v>
      </c>
      <c r="E563" s="48">
        <v>15</v>
      </c>
      <c r="F563" s="17" t="s">
        <v>492</v>
      </c>
      <c r="G563" s="17"/>
    </row>
    <row r="564" spans="1:7" ht="17" x14ac:dyDescent="0.2">
      <c r="A564" s="44" t="s">
        <v>645</v>
      </c>
      <c r="B564" s="257" t="str" cm="1">
        <f t="array" aca="1" ref="B564" ca="1">IF(ISBLANK(INDIRECT(MID(_xlfn.FORMULATEXT(C564),2,LEN(_xlfn.FORMULATEXT(C564))-1)))=TRUE,"",C564)</f>
        <v/>
      </c>
      <c r="C564" s="167">
        <f>'CDS-G'!D29</f>
        <v>0</v>
      </c>
      <c r="D564" s="17" t="s">
        <v>630</v>
      </c>
      <c r="E564" s="48">
        <v>16</v>
      </c>
      <c r="F564" s="17" t="s">
        <v>492</v>
      </c>
      <c r="G564" s="17"/>
    </row>
    <row r="565" spans="1:7" x14ac:dyDescent="0.2">
      <c r="A565" s="44" t="s">
        <v>646</v>
      </c>
      <c r="B565" s="257" cm="1">
        <f t="array" aca="1" ref="B565" ca="1">IF(ISBLANK(INDIRECT(MID(_xlfn.FORMULATEXT(C565),2,LEN(_xlfn.FORMULATEXT(C565))-1)))=TRUE,"",C565)</f>
        <v>660</v>
      </c>
      <c r="C565" s="167">
        <f>'CDS-G'!D31</f>
        <v>660</v>
      </c>
      <c r="D565" s="17" t="s">
        <v>630</v>
      </c>
      <c r="E565" s="48">
        <v>17</v>
      </c>
      <c r="F565" s="17" t="s">
        <v>492</v>
      </c>
      <c r="G565" s="17"/>
    </row>
    <row r="566" spans="1:7" x14ac:dyDescent="0.2">
      <c r="A566" s="44" t="s">
        <v>647</v>
      </c>
      <c r="B566" s="257" cm="1">
        <f t="array" aca="1" ref="B566" ca="1">IF(ISBLANK(INDIRECT(MID(_xlfn.FORMULATEXT(C566),2,LEN(_xlfn.FORMULATEXT(C566))-1)))=TRUE,"",C566)</f>
        <v>14868</v>
      </c>
      <c r="C566" s="167">
        <f>'CDS-G'!D32</f>
        <v>14868</v>
      </c>
      <c r="D566" s="17" t="s">
        <v>630</v>
      </c>
      <c r="E566" s="48">
        <v>18</v>
      </c>
      <c r="F566" s="17" t="s">
        <v>492</v>
      </c>
      <c r="G566" s="17"/>
    </row>
    <row r="567" spans="1:7" x14ac:dyDescent="0.2">
      <c r="A567" s="44" t="s">
        <v>648</v>
      </c>
      <c r="B567" s="257" cm="1">
        <f t="array" aca="1" ref="B567" ca="1">IF(ISBLANK(INDIRECT(MID(_xlfn.FORMULATEXT(C567),2,LEN(_xlfn.FORMULATEXT(C567))-1)))=TRUE,"",C567)</f>
        <v>7278</v>
      </c>
      <c r="C567" s="167">
        <f>'CDS-G'!D33</f>
        <v>7278</v>
      </c>
      <c r="D567" s="17" t="s">
        <v>630</v>
      </c>
      <c r="E567" s="48">
        <v>19</v>
      </c>
      <c r="F567" s="17" t="s">
        <v>492</v>
      </c>
      <c r="G567" s="17"/>
    </row>
    <row r="568" spans="1:7" x14ac:dyDescent="0.2">
      <c r="A568" s="44" t="s">
        <v>649</v>
      </c>
      <c r="B568" s="257" cm="1">
        <f t="array" aca="1" ref="B568" ca="1">IF(ISBLANK(INDIRECT(MID(_xlfn.FORMULATEXT(C568),2,LEN(_xlfn.FORMULATEXT(C568))-1)))=TRUE,"",C568)</f>
        <v>7590</v>
      </c>
      <c r="C568" s="167">
        <f>'CDS-G'!D34</f>
        <v>7590</v>
      </c>
      <c r="D568" s="17" t="s">
        <v>630</v>
      </c>
      <c r="E568" s="48">
        <v>20</v>
      </c>
      <c r="F568" s="17" t="s">
        <v>492</v>
      </c>
      <c r="G568" s="17"/>
    </row>
    <row r="569" spans="1:7" ht="17" x14ac:dyDescent="0.2">
      <c r="A569" s="44" t="s">
        <v>650</v>
      </c>
      <c r="B569" s="257" t="str" cm="1">
        <f t="array" aca="1" ref="B569" ca="1">IF(ISBLANK(INDIRECT(MID(_xlfn.FORMULATEXT(C569),2,LEN(_xlfn.FORMULATEXT(C569))-1)))=TRUE,"",C569)</f>
        <v/>
      </c>
      <c r="C569" s="167">
        <f>'CDS-G'!E36</f>
        <v>0</v>
      </c>
      <c r="D569" s="17" t="s">
        <v>630</v>
      </c>
      <c r="E569" s="48">
        <v>21</v>
      </c>
      <c r="F569" s="17" t="s">
        <v>492</v>
      </c>
      <c r="G569" s="17"/>
    </row>
    <row r="570" spans="1:7" ht="17" x14ac:dyDescent="0.2">
      <c r="A570" s="44" t="s">
        <v>651</v>
      </c>
      <c r="B570" s="257" t="str" cm="1">
        <f t="array" aca="1" ref="B570" ca="1">IF(ISBLANK(INDIRECT(MID(_xlfn.FORMULATEXT(C570),2,LEN(_xlfn.FORMULATEXT(C570))-1)))=TRUE,"",C570)</f>
        <v/>
      </c>
      <c r="C570" s="75">
        <f>'CDS-G'!B39</f>
        <v>0</v>
      </c>
      <c r="D570" s="17" t="s">
        <v>630</v>
      </c>
      <c r="E570" s="48">
        <v>22</v>
      </c>
      <c r="F570" s="17" t="s">
        <v>34</v>
      </c>
      <c r="G570" s="17"/>
    </row>
    <row r="571" spans="1:7" x14ac:dyDescent="0.2">
      <c r="A571" s="44" t="s">
        <v>652</v>
      </c>
      <c r="B571" s="257" cm="1">
        <f t="array" aca="1" ref="B571" ca="1">IF(ISBLANK(INDIRECT(MID(_xlfn.FORMULATEXT(C571),2,LEN(_xlfn.FORMULATEXT(C571))-1)))=TRUE,"",C571)</f>
        <v>12</v>
      </c>
      <c r="C571" s="65">
        <f>'CDS-G'!C44</f>
        <v>12</v>
      </c>
      <c r="D571" s="17" t="s">
        <v>630</v>
      </c>
      <c r="E571" s="48">
        <v>23</v>
      </c>
      <c r="F571" s="17" t="s">
        <v>384</v>
      </c>
      <c r="G571" s="17"/>
    </row>
    <row r="572" spans="1:7" ht="17" x14ac:dyDescent="0.2">
      <c r="A572" s="44" t="s">
        <v>653</v>
      </c>
      <c r="B572" s="257" t="str" cm="1">
        <f t="array" aca="1" ref="B572" ca="1">IF(ISBLANK(INDIRECT(MID(_xlfn.FORMULATEXT(C572),2,LEN(_xlfn.FORMULATEXT(C572))-1)))=TRUE,"",C572)</f>
        <v/>
      </c>
      <c r="C572" s="65">
        <f>'CDS-G'!C45</f>
        <v>0</v>
      </c>
      <c r="D572" s="17" t="s">
        <v>630</v>
      </c>
      <c r="E572" s="48">
        <v>24</v>
      </c>
      <c r="F572" s="17" t="s">
        <v>384</v>
      </c>
      <c r="G572" s="17"/>
    </row>
    <row r="573" spans="1:7" ht="17" x14ac:dyDescent="0.2">
      <c r="A573" s="44" t="s">
        <v>654</v>
      </c>
      <c r="B573" s="257" t="str" cm="1">
        <f t="array" aca="1" ref="B573" ca="1">IF(ISBLANK(INDIRECT(MID(_xlfn.FORMULATEXT(C573),2,LEN(_xlfn.FORMULATEXT(C573))-1)))=TRUE,"",C573)</f>
        <v>No</v>
      </c>
      <c r="C573" s="65" t="str">
        <f>'CDS-G'!D48</f>
        <v>No</v>
      </c>
      <c r="D573" s="17" t="s">
        <v>630</v>
      </c>
      <c r="E573" s="48">
        <v>25</v>
      </c>
      <c r="F573" s="17" t="s">
        <v>21</v>
      </c>
      <c r="G573" s="17"/>
    </row>
    <row r="574" spans="1:7" ht="17" x14ac:dyDescent="0.2">
      <c r="A574" s="44" t="s">
        <v>655</v>
      </c>
      <c r="B574" s="257" t="str" cm="1">
        <f t="array" aca="1" ref="B574" ca="1">IF(ISBLANK(INDIRECT(MID(_xlfn.FORMULATEXT(C574),2,LEN(_xlfn.FORMULATEXT(C574))-1)))=TRUE,"",C574)</f>
        <v>No</v>
      </c>
      <c r="C574" s="65" t="str">
        <f>'CDS-G'!E51</f>
        <v>No</v>
      </c>
      <c r="D574" s="17" t="s">
        <v>630</v>
      </c>
      <c r="E574" s="48">
        <v>26</v>
      </c>
      <c r="F574" s="17" t="s">
        <v>21</v>
      </c>
      <c r="G574" s="17"/>
    </row>
    <row r="575" spans="1:7" x14ac:dyDescent="0.2">
      <c r="A575" s="44" t="s">
        <v>656</v>
      </c>
      <c r="B575" s="257" cm="1">
        <f t="array" aca="1" ref="B575" ca="1">IF(ISBLANK(INDIRECT(MID(_xlfn.FORMULATEXT(C575),2,LEN(_xlfn.FORMULATEXT(C575))-1)))=TRUE,"",C575)</f>
        <v>400</v>
      </c>
      <c r="C575" s="167">
        <f>'CDS-G'!C59</f>
        <v>400</v>
      </c>
      <c r="D575" s="17" t="s">
        <v>630</v>
      </c>
      <c r="E575" s="48">
        <v>27</v>
      </c>
      <c r="F575" s="17" t="s">
        <v>492</v>
      </c>
      <c r="G575" s="17"/>
    </row>
    <row r="576" spans="1:7" x14ac:dyDescent="0.2">
      <c r="A576" s="44" t="s">
        <v>657</v>
      </c>
      <c r="B576" s="257" cm="1">
        <f t="array" aca="1" ref="B576" ca="1">IF(ISBLANK(INDIRECT(MID(_xlfn.FORMULATEXT(C576),2,LEN(_xlfn.FORMULATEXT(C576))-1)))=TRUE,"",C576)</f>
        <v>1200</v>
      </c>
      <c r="C576" s="167">
        <f>'CDS-G'!C63</f>
        <v>1200</v>
      </c>
      <c r="D576" s="17" t="s">
        <v>630</v>
      </c>
      <c r="E576" s="48">
        <v>28</v>
      </c>
      <c r="F576" s="17" t="s">
        <v>492</v>
      </c>
      <c r="G576" s="17"/>
    </row>
    <row r="577" spans="1:7" x14ac:dyDescent="0.2">
      <c r="A577" s="44" t="s">
        <v>658</v>
      </c>
      <c r="B577" s="257" cm="1">
        <f t="array" aca="1" ref="B577" ca="1">IF(ISBLANK(INDIRECT(MID(_xlfn.FORMULATEXT(C577),2,LEN(_xlfn.FORMULATEXT(C577))-1)))=TRUE,"",C577)</f>
        <v>1100</v>
      </c>
      <c r="C577" s="167">
        <f>'CDS-G'!C64</f>
        <v>1100</v>
      </c>
      <c r="D577" s="17" t="s">
        <v>630</v>
      </c>
      <c r="E577" s="48">
        <v>29</v>
      </c>
      <c r="F577" s="17" t="s">
        <v>492</v>
      </c>
      <c r="G577" s="17"/>
    </row>
    <row r="578" spans="1:7" x14ac:dyDescent="0.2">
      <c r="A578" s="44" t="s">
        <v>659</v>
      </c>
      <c r="B578" s="257" cm="1">
        <f t="array" aca="1" ref="B578" ca="1">IF(ISBLANK(INDIRECT(MID(_xlfn.FORMULATEXT(C578),2,LEN(_xlfn.FORMULATEXT(C578))-1)))=TRUE,"",C578)</f>
        <v>400</v>
      </c>
      <c r="C578" s="167">
        <f>'CDS-G'!D59</f>
        <v>400</v>
      </c>
      <c r="D578" s="17" t="s">
        <v>630</v>
      </c>
      <c r="E578" s="48">
        <v>30</v>
      </c>
      <c r="F578" s="17" t="s">
        <v>492</v>
      </c>
      <c r="G578" s="17"/>
    </row>
    <row r="579" spans="1:7" x14ac:dyDescent="0.2">
      <c r="A579" s="44" t="s">
        <v>660</v>
      </c>
      <c r="B579" s="257" cm="1">
        <f t="array" aca="1" ref="B579" ca="1">IF(ISBLANK(INDIRECT(MID(_xlfn.FORMULATEXT(C579),2,LEN(_xlfn.FORMULATEXT(C579))-1)))=TRUE,"",C579)</f>
        <v>3654</v>
      </c>
      <c r="C579" s="167">
        <f>'CDS-G'!D61</f>
        <v>3654</v>
      </c>
      <c r="D579" s="17" t="s">
        <v>630</v>
      </c>
      <c r="E579" s="48">
        <v>31</v>
      </c>
      <c r="F579" s="17" t="s">
        <v>492</v>
      </c>
      <c r="G579" s="17"/>
    </row>
    <row r="580" spans="1:7" x14ac:dyDescent="0.2">
      <c r="A580" s="44" t="s">
        <v>661</v>
      </c>
      <c r="B580" s="257" cm="1">
        <f t="array" aca="1" ref="B580" ca="1">IF(ISBLANK(INDIRECT(MID(_xlfn.FORMULATEXT(C580),2,LEN(_xlfn.FORMULATEXT(C580))-1)))=TRUE,"",C580)</f>
        <v>1200</v>
      </c>
      <c r="C580" s="167">
        <f>'CDS-G'!D63</f>
        <v>1200</v>
      </c>
      <c r="D580" s="17" t="s">
        <v>630</v>
      </c>
      <c r="E580" s="48">
        <v>32</v>
      </c>
      <c r="F580" s="17" t="s">
        <v>492</v>
      </c>
      <c r="G580" s="17"/>
    </row>
    <row r="581" spans="1:7" x14ac:dyDescent="0.2">
      <c r="A581" s="44" t="s">
        <v>662</v>
      </c>
      <c r="B581" s="257" cm="1">
        <f t="array" aca="1" ref="B581" ca="1">IF(ISBLANK(INDIRECT(MID(_xlfn.FORMULATEXT(C581),2,LEN(_xlfn.FORMULATEXT(C581))-1)))=TRUE,"",C581)</f>
        <v>1100</v>
      </c>
      <c r="C581" s="167">
        <f>'CDS-G'!D64</f>
        <v>1100</v>
      </c>
      <c r="D581" s="17" t="s">
        <v>630</v>
      </c>
      <c r="E581" s="48">
        <v>33</v>
      </c>
      <c r="F581" s="17" t="s">
        <v>492</v>
      </c>
      <c r="G581" s="17"/>
    </row>
    <row r="582" spans="1:7" x14ac:dyDescent="0.2">
      <c r="A582" s="44" t="s">
        <v>663</v>
      </c>
      <c r="B582" s="257" cm="1">
        <f t="array" aca="1" ref="B582" ca="1">IF(ISBLANK(INDIRECT(MID(_xlfn.FORMULATEXT(C582),2,LEN(_xlfn.FORMULATEXT(C582))-1)))=TRUE,"",C582)</f>
        <v>400</v>
      </c>
      <c r="C582" s="167">
        <f>'CDS-G'!E59</f>
        <v>400</v>
      </c>
      <c r="D582" s="17" t="s">
        <v>630</v>
      </c>
      <c r="E582" s="48">
        <v>34</v>
      </c>
      <c r="F582" s="17" t="s">
        <v>492</v>
      </c>
      <c r="G582" s="17"/>
    </row>
    <row r="583" spans="1:7" x14ac:dyDescent="0.2">
      <c r="A583" s="44" t="s">
        <v>664</v>
      </c>
      <c r="B583" s="257" cm="1">
        <f t="array" aca="1" ref="B583" ca="1">IF(ISBLANK(INDIRECT(MID(_xlfn.FORMULATEXT(C583),2,LEN(_xlfn.FORMULATEXT(C583))-1)))=TRUE,"",C583)</f>
        <v>1968</v>
      </c>
      <c r="C583" s="167">
        <f>'CDS-G'!E60</f>
        <v>1968</v>
      </c>
      <c r="D583" s="17" t="s">
        <v>630</v>
      </c>
      <c r="E583" s="48">
        <v>35</v>
      </c>
      <c r="F583" s="17" t="s">
        <v>492</v>
      </c>
      <c r="G583" s="17"/>
    </row>
    <row r="584" spans="1:7" x14ac:dyDescent="0.2">
      <c r="A584" s="44" t="s">
        <v>665</v>
      </c>
      <c r="B584" s="257" cm="1">
        <f t="array" aca="1" ref="B584" ca="1">IF(ISBLANK(INDIRECT(MID(_xlfn.FORMULATEXT(C584),2,LEN(_xlfn.FORMULATEXT(C584))-1)))=TRUE,"",C584)</f>
        <v>3654</v>
      </c>
      <c r="C584" s="167">
        <f>'CDS-G'!E61</f>
        <v>3654</v>
      </c>
      <c r="D584" s="17" t="s">
        <v>630</v>
      </c>
      <c r="E584" s="48">
        <v>36</v>
      </c>
      <c r="F584" s="17" t="s">
        <v>492</v>
      </c>
      <c r="G584" s="17"/>
    </row>
    <row r="585" spans="1:7" x14ac:dyDescent="0.2">
      <c r="A585" s="44" t="s">
        <v>666</v>
      </c>
      <c r="B585" s="257" cm="1">
        <f t="array" aca="1" ref="B585" ca="1">IF(ISBLANK(INDIRECT(MID(_xlfn.FORMULATEXT(C585),2,LEN(_xlfn.FORMULATEXT(C585))-1)))=TRUE,"",C585)</f>
        <v>5622</v>
      </c>
      <c r="C585" s="167">
        <f>'CDS-G'!E62</f>
        <v>5622</v>
      </c>
      <c r="D585" s="17" t="s">
        <v>630</v>
      </c>
      <c r="E585" s="48">
        <v>37</v>
      </c>
      <c r="F585" s="17" t="s">
        <v>492</v>
      </c>
      <c r="G585" s="17"/>
    </row>
    <row r="586" spans="1:7" x14ac:dyDescent="0.2">
      <c r="A586" s="44" t="s">
        <v>667</v>
      </c>
      <c r="B586" s="257" cm="1">
        <f t="array" aca="1" ref="B586" ca="1">IF(ISBLANK(INDIRECT(MID(_xlfn.FORMULATEXT(C586),2,LEN(_xlfn.FORMULATEXT(C586))-1)))=TRUE,"",C586)</f>
        <v>1200</v>
      </c>
      <c r="C586" s="167">
        <f>'CDS-G'!E63</f>
        <v>1200</v>
      </c>
      <c r="D586" s="17" t="s">
        <v>630</v>
      </c>
      <c r="E586" s="48">
        <v>38</v>
      </c>
      <c r="F586" s="17" t="s">
        <v>492</v>
      </c>
      <c r="G586" s="17"/>
    </row>
    <row r="587" spans="1:7" x14ac:dyDescent="0.2">
      <c r="A587" s="44" t="s">
        <v>668</v>
      </c>
      <c r="B587" s="257" cm="1">
        <f t="array" aca="1" ref="B587" ca="1">IF(ISBLANK(INDIRECT(MID(_xlfn.FORMULATEXT(C587),2,LEN(_xlfn.FORMULATEXT(C587))-1)))=TRUE,"",C587)</f>
        <v>1100</v>
      </c>
      <c r="C587" s="167">
        <f>'CDS-G'!E64</f>
        <v>1100</v>
      </c>
      <c r="D587" s="17" t="s">
        <v>630</v>
      </c>
      <c r="E587" s="48">
        <v>39</v>
      </c>
      <c r="F587" s="17" t="s">
        <v>492</v>
      </c>
      <c r="G587" s="17"/>
    </row>
    <row r="588" spans="1:7" x14ac:dyDescent="0.2">
      <c r="A588" s="44" t="s">
        <v>669</v>
      </c>
      <c r="B588" s="257" cm="1">
        <f t="array" aca="1" ref="B588" ca="1">IF(ISBLANK(INDIRECT(MID(_xlfn.FORMULATEXT(C588),2,LEN(_xlfn.FORMULATEXT(C588))-1)))=TRUE,"",C588)</f>
        <v>2263</v>
      </c>
      <c r="C588" s="167">
        <f>'CDS-G'!D72</f>
        <v>2263</v>
      </c>
      <c r="D588" s="17" t="s">
        <v>630</v>
      </c>
      <c r="E588" s="48">
        <v>40</v>
      </c>
      <c r="F588" s="17" t="s">
        <v>492</v>
      </c>
      <c r="G588" s="17"/>
    </row>
    <row r="589" spans="1:7" ht="17" x14ac:dyDescent="0.2">
      <c r="A589" s="44" t="s">
        <v>670</v>
      </c>
      <c r="B589" s="257" t="str" cm="1">
        <f t="array" aca="1" ref="B589" ca="1">IF(ISBLANK(INDIRECT(MID(_xlfn.FORMULATEXT(C589),2,LEN(_xlfn.FORMULATEXT(C589))-1)))=TRUE,"",C589)</f>
        <v/>
      </c>
      <c r="C589" s="167">
        <f>'CDS-G'!D74</f>
        <v>0</v>
      </c>
      <c r="D589" s="17" t="s">
        <v>630</v>
      </c>
      <c r="E589" s="48">
        <v>41</v>
      </c>
      <c r="F589" s="17" t="s">
        <v>492</v>
      </c>
      <c r="G589" s="17"/>
    </row>
    <row r="590" spans="1:7" ht="17" x14ac:dyDescent="0.2">
      <c r="A590" s="44" t="s">
        <v>671</v>
      </c>
      <c r="B590" s="257" t="str" cm="1">
        <f t="array" aca="1" ref="B590" ca="1">IF(ISBLANK(INDIRECT(MID(_xlfn.FORMULATEXT(C590),2,LEN(_xlfn.FORMULATEXT(C590))-1)))=TRUE,"",C590)</f>
        <v/>
      </c>
      <c r="C590" s="167">
        <f>'CDS-G'!D75</f>
        <v>0</v>
      </c>
      <c r="D590" s="17" t="s">
        <v>630</v>
      </c>
      <c r="E590" s="48">
        <v>42</v>
      </c>
      <c r="F590" s="17" t="s">
        <v>492</v>
      </c>
      <c r="G590" s="17"/>
    </row>
    <row r="591" spans="1:7" ht="17" x14ac:dyDescent="0.2">
      <c r="A591" s="44" t="s">
        <v>672</v>
      </c>
      <c r="B591" s="257" t="str" cm="1">
        <f t="array" aca="1" ref="B591" ca="1">IF(ISBLANK(INDIRECT(MID(_xlfn.FORMULATEXT(C591),2,LEN(_xlfn.FORMULATEXT(C591))-1)))=TRUE,"",C591)</f>
        <v/>
      </c>
      <c r="C591" s="167">
        <f>'CDS-G'!D76</f>
        <v>0</v>
      </c>
      <c r="D591" s="17" t="s">
        <v>630</v>
      </c>
      <c r="E591" s="48">
        <v>43</v>
      </c>
      <c r="F591" s="17" t="s">
        <v>492</v>
      </c>
      <c r="G591" s="17"/>
    </row>
    <row r="592" spans="1:7" ht="17" x14ac:dyDescent="0.2">
      <c r="A592" s="44" t="s">
        <v>673</v>
      </c>
      <c r="B592" s="257" t="str" cm="1">
        <f t="array" aca="1" ref="B592" ca="1">IF(ISBLANK(INDIRECT(MID(_xlfn.FORMULATEXT(C592),2,LEN(_xlfn.FORMULATEXT(C592))-1)))=TRUE,"",C592)</f>
        <v/>
      </c>
      <c r="C592" s="167">
        <f>'CDS-G'!D77</f>
        <v>0</v>
      </c>
      <c r="D592" s="17" t="s">
        <v>630</v>
      </c>
      <c r="E592" s="48">
        <v>44</v>
      </c>
      <c r="F592" s="17" t="s">
        <v>492</v>
      </c>
      <c r="G592" s="17"/>
    </row>
    <row r="593" spans="1:7" ht="17" x14ac:dyDescent="0.2">
      <c r="A593" s="44" t="s">
        <v>674</v>
      </c>
      <c r="B593" s="257" t="str" cm="1">
        <f t="array" aca="1" ref="B593" ca="1">IF(ISBLANK(INDIRECT(MID(_xlfn.FORMULATEXT(C593),2,LEN(_xlfn.FORMULATEXT(C593))-1)))=TRUE,"",C593)</f>
        <v>2023-2024 Estimated</v>
      </c>
      <c r="C593" s="65" t="str">
        <f>'CDS-H'!B43</f>
        <v>2023-2024 Estimated</v>
      </c>
      <c r="D593" s="17" t="s">
        <v>675</v>
      </c>
      <c r="E593" s="48">
        <v>1</v>
      </c>
      <c r="F593" s="17" t="s">
        <v>21</v>
      </c>
      <c r="G593" s="17"/>
    </row>
    <row r="594" spans="1:7" ht="17" x14ac:dyDescent="0.2">
      <c r="A594" s="44" t="s">
        <v>676</v>
      </c>
      <c r="B594" s="257" t="str" cm="1">
        <f t="array" aca="1" ref="B594" ca="1">IF(ISBLANK(INDIRECT(MID(_xlfn.FORMULATEXT(C594),2,LEN(_xlfn.FORMULATEXT(C594))-1)))=TRUE,"",C594)</f>
        <v>Federal methodology (FM)</v>
      </c>
      <c r="C594" s="65" t="str">
        <f>'CDS-H'!B47</f>
        <v>Federal methodology (FM)</v>
      </c>
      <c r="D594" s="17" t="s">
        <v>675</v>
      </c>
      <c r="E594" s="48">
        <v>2</v>
      </c>
      <c r="F594" s="17" t="s">
        <v>21</v>
      </c>
      <c r="G594" s="17"/>
    </row>
    <row r="595" spans="1:7" x14ac:dyDescent="0.2">
      <c r="A595" s="44" t="s">
        <v>677</v>
      </c>
      <c r="B595" s="257" cm="1">
        <f t="array" aca="1" ref="B595" ca="1">IF(ISBLANK(INDIRECT(MID(_xlfn.FORMULATEXT(C595),2,LEN(_xlfn.FORMULATEXT(C595))-1)))=TRUE,"",C595)</f>
        <v>2671465.1</v>
      </c>
      <c r="C595" s="266">
        <f>'CDS-H'!C50</f>
        <v>2671465.1</v>
      </c>
      <c r="D595" s="17" t="s">
        <v>675</v>
      </c>
      <c r="E595" s="48">
        <v>3</v>
      </c>
      <c r="F595" s="17" t="s">
        <v>492</v>
      </c>
      <c r="G595" s="17"/>
    </row>
    <row r="596" spans="1:7" x14ac:dyDescent="0.2">
      <c r="A596" s="44" t="s">
        <v>678</v>
      </c>
      <c r="B596" s="257" cm="1">
        <f t="array" aca="1" ref="B596" ca="1">IF(ISBLANK(INDIRECT(MID(_xlfn.FORMULATEXT(C596),2,LEN(_xlfn.FORMULATEXT(C596))-1)))=TRUE,"",C596)</f>
        <v>378091.15</v>
      </c>
      <c r="C596" s="267">
        <f>'CDS-H'!D50</f>
        <v>378091.15</v>
      </c>
      <c r="D596" s="17" t="s">
        <v>675</v>
      </c>
      <c r="E596" s="48">
        <v>4</v>
      </c>
      <c r="F596" s="17" t="s">
        <v>492</v>
      </c>
      <c r="G596" s="17"/>
    </row>
    <row r="597" spans="1:7" x14ac:dyDescent="0.2">
      <c r="A597" s="44" t="s">
        <v>679</v>
      </c>
      <c r="B597" s="257" cm="1">
        <f t="array" aca="1" ref="B597" ca="1">IF(ISBLANK(INDIRECT(MID(_xlfn.FORMULATEXT(C597),2,LEN(_xlfn.FORMULATEXT(C597))-1)))=TRUE,"",C597)</f>
        <v>1154927.82</v>
      </c>
      <c r="C597" s="266">
        <f>'CDS-H'!C51</f>
        <v>1154927.82</v>
      </c>
      <c r="D597" s="17" t="s">
        <v>675</v>
      </c>
      <c r="E597" s="48">
        <v>5</v>
      </c>
      <c r="F597" s="17" t="s">
        <v>492</v>
      </c>
      <c r="G597" s="17"/>
    </row>
    <row r="598" spans="1:7" x14ac:dyDescent="0.2">
      <c r="A598" s="44" t="s">
        <v>680</v>
      </c>
      <c r="B598" s="257" cm="1">
        <f t="array" aca="1" ref="B598" ca="1">IF(ISBLANK(INDIRECT(MID(_xlfn.FORMULATEXT(C598),2,LEN(_xlfn.FORMULATEXT(C598))-1)))=TRUE,"",C598)</f>
        <v>108760.82</v>
      </c>
      <c r="C598" s="266">
        <f>'CDS-H'!D51</f>
        <v>108760.82</v>
      </c>
      <c r="D598" s="17" t="s">
        <v>675</v>
      </c>
      <c r="E598" s="48">
        <v>6</v>
      </c>
      <c r="F598" s="17" t="s">
        <v>492</v>
      </c>
      <c r="G598" s="17"/>
    </row>
    <row r="599" spans="1:7" x14ac:dyDescent="0.2">
      <c r="A599" s="44" t="s">
        <v>681</v>
      </c>
      <c r="B599" s="257" cm="1">
        <f t="array" aca="1" ref="B599" ca="1">IF(ISBLANK(INDIRECT(MID(_xlfn.FORMULATEXT(C599),2,LEN(_xlfn.FORMULATEXT(C599))-1)))=TRUE,"",C599)</f>
        <v>24873219.449999999</v>
      </c>
      <c r="C599" s="266">
        <f>'CDS-H'!C52</f>
        <v>24873219.449999999</v>
      </c>
      <c r="D599" s="17" t="s">
        <v>675</v>
      </c>
      <c r="E599" s="48">
        <v>7</v>
      </c>
      <c r="F599" s="17" t="s">
        <v>492</v>
      </c>
      <c r="G599" s="17"/>
    </row>
    <row r="600" spans="1:7" x14ac:dyDescent="0.2">
      <c r="A600" s="44" t="s">
        <v>682</v>
      </c>
      <c r="B600" s="257" cm="1">
        <f t="array" aca="1" ref="B600" ca="1">IF(ISBLANK(INDIRECT(MID(_xlfn.FORMULATEXT(C600),2,LEN(_xlfn.FORMULATEXT(C600))-1)))=TRUE,"",C600)</f>
        <v>5423301.5499999998</v>
      </c>
      <c r="C600" s="266">
        <f>'CDS-H'!D52</f>
        <v>5423301.5499999998</v>
      </c>
      <c r="D600" s="17" t="s">
        <v>675</v>
      </c>
      <c r="E600" s="48">
        <v>8</v>
      </c>
      <c r="F600" s="17" t="s">
        <v>492</v>
      </c>
      <c r="G600" s="17"/>
    </row>
    <row r="601" spans="1:7" x14ac:dyDescent="0.2">
      <c r="A601" s="44" t="s">
        <v>683</v>
      </c>
      <c r="B601" s="257" cm="1">
        <f t="array" aca="1" ref="B601" ca="1">IF(ISBLANK(INDIRECT(MID(_xlfn.FORMULATEXT(C601),2,LEN(_xlfn.FORMULATEXT(C601))-1)))=TRUE,"",C601)</f>
        <v>569642.11</v>
      </c>
      <c r="C601" s="266">
        <f>'CDS-H'!C53</f>
        <v>569642.11</v>
      </c>
      <c r="D601" s="17" t="s">
        <v>675</v>
      </c>
      <c r="E601" s="48">
        <v>9</v>
      </c>
      <c r="F601" s="17" t="s">
        <v>492</v>
      </c>
      <c r="G601" s="17"/>
    </row>
    <row r="602" spans="1:7" x14ac:dyDescent="0.2">
      <c r="A602" s="44" t="s">
        <v>684</v>
      </c>
      <c r="B602" s="257" cm="1">
        <f t="array" aca="1" ref="B602" ca="1">IF(ISBLANK(INDIRECT(MID(_xlfn.FORMULATEXT(C602),2,LEN(_xlfn.FORMULATEXT(C602))-1)))=TRUE,"",C602)</f>
        <v>299247.05</v>
      </c>
      <c r="C602" s="266">
        <f>'CDS-H'!D53</f>
        <v>299247.05</v>
      </c>
      <c r="D602" s="17" t="s">
        <v>675</v>
      </c>
      <c r="E602" s="48">
        <v>10</v>
      </c>
      <c r="F602" s="17" t="s">
        <v>492</v>
      </c>
      <c r="G602" s="17"/>
    </row>
    <row r="603" spans="1:7" x14ac:dyDescent="0.2">
      <c r="A603" s="44" t="s">
        <v>685</v>
      </c>
      <c r="B603" s="257" cm="1">
        <f t="array" aca="1" ref="B603" ca="1">IF(ISBLANK(INDIRECT(MID(_xlfn.FORMULATEXT(C603),2,LEN(_xlfn.FORMULATEXT(C603))-1)))=TRUE,"",C603)</f>
        <v>29269254.479999997</v>
      </c>
      <c r="C603" s="266">
        <f>'CDS-H'!C54</f>
        <v>29269254.479999997</v>
      </c>
      <c r="D603" s="17" t="s">
        <v>675</v>
      </c>
      <c r="E603" s="48">
        <v>11</v>
      </c>
      <c r="F603" s="17" t="s">
        <v>492</v>
      </c>
      <c r="G603" s="17"/>
    </row>
    <row r="604" spans="1:7" x14ac:dyDescent="0.2">
      <c r="A604" s="44" t="s">
        <v>686</v>
      </c>
      <c r="B604" s="257" cm="1">
        <f t="array" aca="1" ref="B604" ca="1">IF(ISBLANK(INDIRECT(MID(_xlfn.FORMULATEXT(C604),2,LEN(_xlfn.FORMULATEXT(C604))-1)))=TRUE,"",C604)</f>
        <v>6209400.5699999994</v>
      </c>
      <c r="C604" s="266">
        <f>'CDS-H'!D54</f>
        <v>6209400.5699999994</v>
      </c>
      <c r="D604" s="17" t="s">
        <v>675</v>
      </c>
      <c r="E604" s="48">
        <v>12</v>
      </c>
      <c r="F604" s="17" t="s">
        <v>492</v>
      </c>
      <c r="G604" s="17"/>
    </row>
    <row r="605" spans="1:7" x14ac:dyDescent="0.2">
      <c r="A605" s="44" t="s">
        <v>687</v>
      </c>
      <c r="B605" s="257" cm="1">
        <f t="array" aca="1" ref="B605" ca="1">IF(ISBLANK(INDIRECT(MID(_xlfn.FORMULATEXT(C605),2,LEN(_xlfn.FORMULATEXT(C605))-1)))=TRUE,"",C605)</f>
        <v>3749667</v>
      </c>
      <c r="C605" s="266">
        <f>'CDS-H'!C55</f>
        <v>3749667</v>
      </c>
      <c r="D605" s="17" t="s">
        <v>675</v>
      </c>
      <c r="E605" s="48">
        <v>13</v>
      </c>
      <c r="F605" s="17" t="s">
        <v>492</v>
      </c>
      <c r="G605" s="17"/>
    </row>
    <row r="606" spans="1:7" x14ac:dyDescent="0.2">
      <c r="A606" s="44" t="s">
        <v>688</v>
      </c>
      <c r="B606" s="257" cm="1">
        <f t="array" aca="1" ref="B606" ca="1">IF(ISBLANK(INDIRECT(MID(_xlfn.FORMULATEXT(C606),2,LEN(_xlfn.FORMULATEXT(C606))-1)))=TRUE,"",C606)</f>
        <v>1555875</v>
      </c>
      <c r="C606" s="266">
        <f>'CDS-H'!D55</f>
        <v>1555875</v>
      </c>
      <c r="D606" s="17" t="s">
        <v>675</v>
      </c>
      <c r="E606" s="48">
        <v>14</v>
      </c>
      <c r="F606" s="17" t="s">
        <v>492</v>
      </c>
      <c r="G606" s="17"/>
    </row>
    <row r="607" spans="1:7" x14ac:dyDescent="0.2">
      <c r="A607" s="44" t="s">
        <v>689</v>
      </c>
      <c r="B607" s="257" cm="1">
        <f t="array" aca="1" ref="B607" ca="1">IF(ISBLANK(INDIRECT(MID(_xlfn.FORMULATEXT(C607),2,LEN(_xlfn.FORMULATEXT(C607))-1)))=TRUE,"",C607)</f>
        <v>1520294</v>
      </c>
      <c r="C607" s="266">
        <f>'CDS-H'!C56</f>
        <v>1520294</v>
      </c>
      <c r="D607" s="17" t="s">
        <v>675</v>
      </c>
      <c r="E607" s="48">
        <v>15</v>
      </c>
      <c r="F607" s="17" t="s">
        <v>492</v>
      </c>
      <c r="G607" s="17"/>
    </row>
    <row r="608" spans="1:7" x14ac:dyDescent="0.2">
      <c r="A608" s="44" t="s">
        <v>690</v>
      </c>
      <c r="B608" s="257" cm="1">
        <f t="array" aca="1" ref="B608" ca="1">IF(ISBLANK(INDIRECT(MID(_xlfn.FORMULATEXT(C608),2,LEN(_xlfn.FORMULATEXT(C608))-1)))=TRUE,"",C608)</f>
        <v>180211</v>
      </c>
      <c r="C608" s="266">
        <f>'CDS-H'!C57</f>
        <v>180211</v>
      </c>
      <c r="D608" s="17" t="s">
        <v>675</v>
      </c>
      <c r="E608" s="48">
        <v>16</v>
      </c>
      <c r="F608" s="17" t="s">
        <v>492</v>
      </c>
      <c r="G608" s="17"/>
    </row>
    <row r="609" spans="1:7" x14ac:dyDescent="0.2">
      <c r="A609" s="44" t="s">
        <v>691</v>
      </c>
      <c r="B609" s="257" cm="1">
        <f t="array" aca="1" ref="B609" ca="1">IF(ISBLANK(INDIRECT(MID(_xlfn.FORMULATEXT(C609),2,LEN(_xlfn.FORMULATEXT(C609))-1)))=TRUE,"",C609)</f>
        <v>108515</v>
      </c>
      <c r="C609" s="266">
        <f>'CDS-H'!D57</f>
        <v>108515</v>
      </c>
      <c r="D609" s="17" t="s">
        <v>675</v>
      </c>
      <c r="E609" s="48">
        <v>17</v>
      </c>
      <c r="F609" s="17" t="s">
        <v>492</v>
      </c>
      <c r="G609" s="17"/>
    </row>
    <row r="610" spans="1:7" x14ac:dyDescent="0.2">
      <c r="A610" s="44" t="s">
        <v>692</v>
      </c>
      <c r="B610" s="257" cm="1">
        <f t="array" aca="1" ref="B610" ca="1">IF(ISBLANK(INDIRECT(MID(_xlfn.FORMULATEXT(C610),2,LEN(_xlfn.FORMULATEXT(C610))-1)))=TRUE,"",C610)</f>
        <v>5450172</v>
      </c>
      <c r="C610" s="266">
        <f>'CDS-H'!C58</f>
        <v>5450172</v>
      </c>
      <c r="D610" s="17" t="s">
        <v>675</v>
      </c>
      <c r="E610" s="48">
        <v>18</v>
      </c>
      <c r="F610" s="17" t="s">
        <v>492</v>
      </c>
      <c r="G610" s="17"/>
    </row>
    <row r="611" spans="1:7" x14ac:dyDescent="0.2">
      <c r="A611" s="44" t="s">
        <v>693</v>
      </c>
      <c r="B611" s="257" cm="1">
        <f t="array" aca="1" ref="B611" ca="1">IF(ISBLANK(INDIRECT(MID(_xlfn.FORMULATEXT(C611),2,LEN(_xlfn.FORMULATEXT(C611))-1)))=TRUE,"",C611)</f>
        <v>1664390</v>
      </c>
      <c r="C611" s="266">
        <f>'CDS-H'!D58</f>
        <v>1664390</v>
      </c>
      <c r="D611" s="17" t="s">
        <v>675</v>
      </c>
      <c r="E611" s="48">
        <v>19</v>
      </c>
      <c r="F611" s="17" t="s">
        <v>492</v>
      </c>
      <c r="G611" s="17"/>
    </row>
    <row r="612" spans="1:7" ht="17" x14ac:dyDescent="0.2">
      <c r="A612" s="44" t="s">
        <v>694</v>
      </c>
      <c r="B612" s="257" t="str" cm="1">
        <f t="array" aca="1" ref="B612" ca="1">IF(ISBLANK(INDIRECT(MID(_xlfn.FORMULATEXT(C612),2,LEN(_xlfn.FORMULATEXT(C612))-1)))=TRUE,"",C612)</f>
        <v/>
      </c>
      <c r="C612" s="266">
        <f>'CDS-H'!C59</f>
        <v>0</v>
      </c>
      <c r="D612" s="17" t="s">
        <v>675</v>
      </c>
      <c r="E612" s="48">
        <v>20</v>
      </c>
      <c r="F612" s="17" t="s">
        <v>492</v>
      </c>
      <c r="G612" s="17"/>
    </row>
    <row r="613" spans="1:7" x14ac:dyDescent="0.2">
      <c r="A613" s="44" t="s">
        <v>695</v>
      </c>
      <c r="B613" s="257" cm="1">
        <f t="array" aca="1" ref="B613" ca="1">IF(ISBLANK(INDIRECT(MID(_xlfn.FORMULATEXT(C613),2,LEN(_xlfn.FORMULATEXT(C613))-1)))=TRUE,"",C613)</f>
        <v>1322884.83</v>
      </c>
      <c r="C613" s="266">
        <f>'CDS-H'!D59</f>
        <v>1322884.83</v>
      </c>
      <c r="D613" s="17" t="s">
        <v>675</v>
      </c>
      <c r="E613" s="48">
        <v>21</v>
      </c>
      <c r="F613" s="17" t="s">
        <v>492</v>
      </c>
      <c r="G613" s="17"/>
    </row>
    <row r="614" spans="1:7" x14ac:dyDescent="0.2">
      <c r="A614" s="44" t="s">
        <v>696</v>
      </c>
      <c r="B614" s="257" cm="1">
        <f t="array" aca="1" ref="B614" ca="1">IF(ISBLANK(INDIRECT(MID(_xlfn.FORMULATEXT(C614),2,LEN(_xlfn.FORMULATEXT(C614))-1)))=TRUE,"",C614)</f>
        <v>1368526</v>
      </c>
      <c r="C614" s="266">
        <f>'CDS-H'!C60</f>
        <v>1368526</v>
      </c>
      <c r="D614" s="17" t="s">
        <v>675</v>
      </c>
      <c r="E614" s="48">
        <v>22</v>
      </c>
      <c r="F614" s="17" t="s">
        <v>492</v>
      </c>
      <c r="G614" s="17"/>
    </row>
    <row r="615" spans="1:7" x14ac:dyDescent="0.2">
      <c r="A615" s="44" t="s">
        <v>697</v>
      </c>
      <c r="B615" s="257" cm="1">
        <f t="array" aca="1" ref="B615" ca="1">IF(ISBLANK(INDIRECT(MID(_xlfn.FORMULATEXT(C615),2,LEN(_xlfn.FORMULATEXT(C615))-1)))=TRUE,"",C615)</f>
        <v>368508</v>
      </c>
      <c r="C615" s="266">
        <f>'CDS-H'!D60</f>
        <v>368508</v>
      </c>
      <c r="D615" s="17" t="s">
        <v>675</v>
      </c>
      <c r="E615" s="48">
        <v>23</v>
      </c>
      <c r="F615" s="17" t="s">
        <v>492</v>
      </c>
      <c r="G615" s="17"/>
    </row>
    <row r="616" spans="1:7" ht="17" x14ac:dyDescent="0.2">
      <c r="A616" s="44" t="s">
        <v>698</v>
      </c>
      <c r="B616" s="257" t="str" cm="1">
        <f t="array" aca="1" ref="B616" ca="1">IF(ISBLANK(INDIRECT(MID(_xlfn.FORMULATEXT(C616),2,LEN(_xlfn.FORMULATEXT(C616))-1)))=TRUE,"",C616)</f>
        <v/>
      </c>
      <c r="C616" s="266">
        <f>'CDS-H'!C61</f>
        <v>0</v>
      </c>
      <c r="D616" s="17" t="s">
        <v>675</v>
      </c>
      <c r="E616" s="48">
        <v>24</v>
      </c>
      <c r="F616" s="17" t="s">
        <v>492</v>
      </c>
      <c r="G616" s="17"/>
    </row>
    <row r="617" spans="1:7" ht="17" x14ac:dyDescent="0.2">
      <c r="A617" s="44" t="s">
        <v>699</v>
      </c>
      <c r="B617" s="257" t="str" cm="1">
        <f t="array" aca="1" ref="B617" ca="1">IF(ISBLANK(INDIRECT(MID(_xlfn.FORMULATEXT(C617),2,LEN(_xlfn.FORMULATEXT(C617))-1)))=TRUE,"",C617)</f>
        <v/>
      </c>
      <c r="C617" s="266">
        <f>'CDS-H'!D61</f>
        <v>0</v>
      </c>
      <c r="D617" s="17" t="s">
        <v>675</v>
      </c>
      <c r="E617" s="48">
        <v>25</v>
      </c>
      <c r="F617" s="17" t="s">
        <v>492</v>
      </c>
      <c r="G617" s="17"/>
    </row>
    <row r="618" spans="1:7" x14ac:dyDescent="0.2">
      <c r="A618" s="44" t="s">
        <v>700</v>
      </c>
      <c r="B618" s="257" cm="1">
        <f t="array" aca="1" ref="B618" ca="1">IF(ISBLANK(INDIRECT(MID(_xlfn.FORMULATEXT(C618),2,LEN(_xlfn.FORMULATEXT(C618))-1)))=TRUE,"",C618)</f>
        <v>283</v>
      </c>
      <c r="C618" s="65">
        <f>'CDS-H'!C74</f>
        <v>283</v>
      </c>
      <c r="D618" s="17" t="s">
        <v>675</v>
      </c>
      <c r="E618" s="48">
        <v>26</v>
      </c>
      <c r="F618" s="17" t="s">
        <v>384</v>
      </c>
      <c r="G618" s="17"/>
    </row>
    <row r="619" spans="1:7" x14ac:dyDescent="0.2">
      <c r="A619" s="44" t="s">
        <v>701</v>
      </c>
      <c r="B619" s="257" cm="1">
        <f t="array" aca="1" ref="B619" ca="1">IF(ISBLANK(INDIRECT(MID(_xlfn.FORMULATEXT(C619),2,LEN(_xlfn.FORMULATEXT(C619))-1)))=TRUE,"",C619)</f>
        <v>1153</v>
      </c>
      <c r="C619" s="65">
        <f>'CDS-H'!D74</f>
        <v>1153</v>
      </c>
      <c r="D619" s="17" t="s">
        <v>675</v>
      </c>
      <c r="E619" s="48">
        <v>27</v>
      </c>
      <c r="F619" s="17" t="s">
        <v>384</v>
      </c>
      <c r="G619" s="17"/>
    </row>
    <row r="620" spans="1:7" x14ac:dyDescent="0.2">
      <c r="A620" s="44" t="s">
        <v>702</v>
      </c>
      <c r="B620" s="257" cm="1">
        <f t="array" aca="1" ref="B620" ca="1">IF(ISBLANK(INDIRECT(MID(_xlfn.FORMULATEXT(C620),2,LEN(_xlfn.FORMULATEXT(C620))-1)))=TRUE,"",C620)</f>
        <v>58</v>
      </c>
      <c r="C620" s="65">
        <f>'CDS-H'!E74</f>
        <v>58</v>
      </c>
      <c r="D620" s="17" t="s">
        <v>675</v>
      </c>
      <c r="E620" s="48">
        <v>28</v>
      </c>
      <c r="F620" s="17" t="s">
        <v>384</v>
      </c>
      <c r="G620" s="17"/>
    </row>
    <row r="621" spans="1:7" x14ac:dyDescent="0.2">
      <c r="A621" s="44" t="s">
        <v>703</v>
      </c>
      <c r="B621" s="257" cm="1">
        <f t="array" aca="1" ref="B621" ca="1">IF(ISBLANK(INDIRECT(MID(_xlfn.FORMULATEXT(C621),2,LEN(_xlfn.FORMULATEXT(C621))-1)))=TRUE,"",C621)</f>
        <v>255</v>
      </c>
      <c r="C621" s="65">
        <f>'CDS-H'!C75</f>
        <v>255</v>
      </c>
      <c r="D621" s="17" t="s">
        <v>675</v>
      </c>
      <c r="E621" s="48">
        <v>29</v>
      </c>
      <c r="F621" s="17" t="s">
        <v>384</v>
      </c>
      <c r="G621" s="17"/>
    </row>
    <row r="622" spans="1:7" x14ac:dyDescent="0.2">
      <c r="A622" s="44" t="s">
        <v>704</v>
      </c>
      <c r="B622" s="257" cm="1">
        <f t="array" aca="1" ref="B622" ca="1">IF(ISBLANK(INDIRECT(MID(_xlfn.FORMULATEXT(C622),2,LEN(_xlfn.FORMULATEXT(C622))-1)))=TRUE,"",C622)</f>
        <v>944</v>
      </c>
      <c r="C622" s="65">
        <f>'CDS-H'!D75</f>
        <v>944</v>
      </c>
      <c r="D622" s="17" t="s">
        <v>675</v>
      </c>
      <c r="E622" s="48">
        <v>30</v>
      </c>
      <c r="F622" s="17" t="s">
        <v>384</v>
      </c>
      <c r="G622" s="17"/>
    </row>
    <row r="623" spans="1:7" x14ac:dyDescent="0.2">
      <c r="A623" s="44" t="s">
        <v>705</v>
      </c>
      <c r="B623" s="257" cm="1">
        <f t="array" aca="1" ref="B623" ca="1">IF(ISBLANK(INDIRECT(MID(_xlfn.FORMULATEXT(C623),2,LEN(_xlfn.FORMULATEXT(C623))-1)))=TRUE,"",C623)</f>
        <v>30</v>
      </c>
      <c r="C623" s="65">
        <f>'CDS-H'!E75</f>
        <v>30</v>
      </c>
      <c r="D623" s="17" t="s">
        <v>675</v>
      </c>
      <c r="E623" s="48">
        <v>31</v>
      </c>
      <c r="F623" s="17" t="s">
        <v>384</v>
      </c>
      <c r="G623" s="17"/>
    </row>
    <row r="624" spans="1:7" x14ac:dyDescent="0.2">
      <c r="A624" s="44" t="s">
        <v>706</v>
      </c>
      <c r="B624" s="257" cm="1">
        <f t="array" aca="1" ref="B624" ca="1">IF(ISBLANK(INDIRECT(MID(_xlfn.FORMULATEXT(C624),2,LEN(_xlfn.FORMULATEXT(C624))-1)))=TRUE,"",C624)</f>
        <v>225</v>
      </c>
      <c r="C624" s="65">
        <f>'CDS-H'!C76</f>
        <v>225</v>
      </c>
      <c r="D624" s="17" t="s">
        <v>675</v>
      </c>
      <c r="E624" s="48">
        <v>32</v>
      </c>
      <c r="F624" s="17" t="s">
        <v>384</v>
      </c>
      <c r="G624" s="17"/>
    </row>
    <row r="625" spans="1:7" x14ac:dyDescent="0.2">
      <c r="A625" s="44" t="s">
        <v>707</v>
      </c>
      <c r="B625" s="257" cm="1">
        <f t="array" aca="1" ref="B625" ca="1">IF(ISBLANK(INDIRECT(MID(_xlfn.FORMULATEXT(C625),2,LEN(_xlfn.FORMULATEXT(C625))-1)))=TRUE,"",C625)</f>
        <v>828</v>
      </c>
      <c r="C625" s="65">
        <f>'CDS-H'!D76</f>
        <v>828</v>
      </c>
      <c r="D625" s="17" t="s">
        <v>675</v>
      </c>
      <c r="E625" s="48">
        <v>33</v>
      </c>
      <c r="F625" s="17" t="s">
        <v>384</v>
      </c>
      <c r="G625" s="17"/>
    </row>
    <row r="626" spans="1:7" x14ac:dyDescent="0.2">
      <c r="A626" s="44" t="s">
        <v>708</v>
      </c>
      <c r="B626" s="257" cm="1">
        <f t="array" aca="1" ref="B626" ca="1">IF(ISBLANK(INDIRECT(MID(_xlfn.FORMULATEXT(C626),2,LEN(_xlfn.FORMULATEXT(C626))-1)))=TRUE,"",C626)</f>
        <v>25</v>
      </c>
      <c r="C626" s="65">
        <f>'CDS-H'!E76</f>
        <v>25</v>
      </c>
      <c r="D626" s="17" t="s">
        <v>675</v>
      </c>
      <c r="E626" s="48">
        <v>34</v>
      </c>
      <c r="F626" s="17" t="s">
        <v>384</v>
      </c>
      <c r="G626" s="17"/>
    </row>
    <row r="627" spans="1:7" x14ac:dyDescent="0.2">
      <c r="A627" s="44" t="s">
        <v>709</v>
      </c>
      <c r="B627" s="257" cm="1">
        <f t="array" aca="1" ref="B627" ca="1">IF(ISBLANK(INDIRECT(MID(_xlfn.FORMULATEXT(C627),2,LEN(_xlfn.FORMULATEXT(C627))-1)))=TRUE,"",C627)</f>
        <v>225</v>
      </c>
      <c r="C627" s="65">
        <f>'CDS-H'!C77</f>
        <v>225</v>
      </c>
      <c r="D627" s="17" t="s">
        <v>675</v>
      </c>
      <c r="E627" s="48">
        <v>35</v>
      </c>
      <c r="F627" s="17" t="s">
        <v>384</v>
      </c>
      <c r="G627" s="17"/>
    </row>
    <row r="628" spans="1:7" x14ac:dyDescent="0.2">
      <c r="A628" s="44" t="s">
        <v>710</v>
      </c>
      <c r="B628" s="257" cm="1">
        <f t="array" aca="1" ref="B628" ca="1">IF(ISBLANK(INDIRECT(MID(_xlfn.FORMULATEXT(C628),2,LEN(_xlfn.FORMULATEXT(C628))-1)))=TRUE,"",C628)</f>
        <v>828</v>
      </c>
      <c r="C628" s="65">
        <f>'CDS-H'!D77</f>
        <v>828</v>
      </c>
      <c r="D628" s="17" t="s">
        <v>675</v>
      </c>
      <c r="E628" s="48">
        <v>36</v>
      </c>
      <c r="F628" s="17" t="s">
        <v>384</v>
      </c>
      <c r="G628" s="17"/>
    </row>
    <row r="629" spans="1:7" x14ac:dyDescent="0.2">
      <c r="A629" s="44" t="s">
        <v>711</v>
      </c>
      <c r="B629" s="257" cm="1">
        <f t="array" aca="1" ref="B629" ca="1">IF(ISBLANK(INDIRECT(MID(_xlfn.FORMULATEXT(C629),2,LEN(_xlfn.FORMULATEXT(C629))-1)))=TRUE,"",C629)</f>
        <v>24</v>
      </c>
      <c r="C629" s="65">
        <f>'CDS-H'!E77</f>
        <v>24</v>
      </c>
      <c r="D629" s="17" t="s">
        <v>675</v>
      </c>
      <c r="E629" s="48">
        <v>37</v>
      </c>
      <c r="F629" s="17" t="s">
        <v>384</v>
      </c>
      <c r="G629" s="17"/>
    </row>
    <row r="630" spans="1:7" x14ac:dyDescent="0.2">
      <c r="A630" s="44" t="s">
        <v>712</v>
      </c>
      <c r="B630" s="257" cm="1">
        <f t="array" aca="1" ref="B630" ca="1">IF(ISBLANK(INDIRECT(MID(_xlfn.FORMULATEXT(C630),2,LEN(_xlfn.FORMULATEXT(C630))-1)))=TRUE,"",C630)</f>
        <v>225</v>
      </c>
      <c r="C630" s="65">
        <f>'CDS-H'!C78</f>
        <v>225</v>
      </c>
      <c r="D630" s="17" t="s">
        <v>675</v>
      </c>
      <c r="E630" s="48">
        <v>38</v>
      </c>
      <c r="F630" s="17" t="s">
        <v>384</v>
      </c>
      <c r="G630" s="17"/>
    </row>
    <row r="631" spans="1:7" x14ac:dyDescent="0.2">
      <c r="A631" s="44" t="s">
        <v>713</v>
      </c>
      <c r="B631" s="257" cm="1">
        <f t="array" aca="1" ref="B631" ca="1">IF(ISBLANK(INDIRECT(MID(_xlfn.FORMULATEXT(C631),2,LEN(_xlfn.FORMULATEXT(C631))-1)))=TRUE,"",C631)</f>
        <v>828</v>
      </c>
      <c r="C631" s="65">
        <f>'CDS-H'!D78</f>
        <v>828</v>
      </c>
      <c r="D631" s="17" t="s">
        <v>675</v>
      </c>
      <c r="E631" s="48">
        <v>39</v>
      </c>
      <c r="F631" s="17" t="s">
        <v>384</v>
      </c>
      <c r="G631" s="17"/>
    </row>
    <row r="632" spans="1:7" x14ac:dyDescent="0.2">
      <c r="A632" s="44" t="s">
        <v>714</v>
      </c>
      <c r="B632" s="257" cm="1">
        <f t="array" aca="1" ref="B632" ca="1">IF(ISBLANK(INDIRECT(MID(_xlfn.FORMULATEXT(C632),2,LEN(_xlfn.FORMULATEXT(C632))-1)))=TRUE,"",C632)</f>
        <v>24</v>
      </c>
      <c r="C632" s="65">
        <f>'CDS-H'!E78</f>
        <v>24</v>
      </c>
      <c r="D632" s="17" t="s">
        <v>675</v>
      </c>
      <c r="E632" s="48">
        <v>40</v>
      </c>
      <c r="F632" s="17" t="s">
        <v>384</v>
      </c>
      <c r="G632" s="17"/>
    </row>
    <row r="633" spans="1:7" x14ac:dyDescent="0.2">
      <c r="A633" s="44" t="s">
        <v>715</v>
      </c>
      <c r="B633" s="257" cm="1">
        <f t="array" aca="1" ref="B633" ca="1">IF(ISBLANK(INDIRECT(MID(_xlfn.FORMULATEXT(C633),2,LEN(_xlfn.FORMULATEXT(C633))-1)))=TRUE,"",C633)</f>
        <v>165</v>
      </c>
      <c r="C633" s="65">
        <f>'CDS-H'!C79</f>
        <v>165</v>
      </c>
      <c r="D633" s="17" t="s">
        <v>675</v>
      </c>
      <c r="E633" s="48">
        <v>41</v>
      </c>
      <c r="F633" s="17" t="s">
        <v>384</v>
      </c>
      <c r="G633" s="17"/>
    </row>
    <row r="634" spans="1:7" x14ac:dyDescent="0.2">
      <c r="A634" s="44" t="s">
        <v>716</v>
      </c>
      <c r="B634" s="257" cm="1">
        <f t="array" aca="1" ref="B634" ca="1">IF(ISBLANK(INDIRECT(MID(_xlfn.FORMULATEXT(C634),2,LEN(_xlfn.FORMULATEXT(C634))-1)))=TRUE,"",C634)</f>
        <v>631</v>
      </c>
      <c r="C634" s="65">
        <f>'CDS-H'!D79</f>
        <v>631</v>
      </c>
      <c r="D634" s="17" t="s">
        <v>675</v>
      </c>
      <c r="E634" s="48">
        <v>42</v>
      </c>
      <c r="F634" s="17" t="s">
        <v>384</v>
      </c>
      <c r="G634" s="17"/>
    </row>
    <row r="635" spans="1:7" x14ac:dyDescent="0.2">
      <c r="A635" s="44" t="s">
        <v>717</v>
      </c>
      <c r="B635" s="257" cm="1">
        <f t="array" aca="1" ref="B635" ca="1">IF(ISBLANK(INDIRECT(MID(_xlfn.FORMULATEXT(C635),2,LEN(_xlfn.FORMULATEXT(C635))-1)))=TRUE,"",C635)</f>
        <v>20</v>
      </c>
      <c r="C635" s="65">
        <f>'CDS-H'!E79</f>
        <v>20</v>
      </c>
      <c r="D635" s="17" t="s">
        <v>675</v>
      </c>
      <c r="E635" s="48">
        <v>43</v>
      </c>
      <c r="F635" s="17" t="s">
        <v>384</v>
      </c>
      <c r="G635" s="17"/>
    </row>
    <row r="636" spans="1:7" x14ac:dyDescent="0.2">
      <c r="A636" s="44" t="s">
        <v>718</v>
      </c>
      <c r="B636" s="257" cm="1">
        <f t="array" aca="1" ref="B636" ca="1">IF(ISBLANK(INDIRECT(MID(_xlfn.FORMULATEXT(C636),2,LEN(_xlfn.FORMULATEXT(C636))-1)))=TRUE,"",C636)</f>
        <v>50</v>
      </c>
      <c r="C636" s="65">
        <f>'CDS-H'!C80</f>
        <v>50</v>
      </c>
      <c r="D636" s="17" t="s">
        <v>675</v>
      </c>
      <c r="E636" s="48">
        <v>44</v>
      </c>
      <c r="F636" s="17" t="s">
        <v>384</v>
      </c>
      <c r="G636" s="17"/>
    </row>
    <row r="637" spans="1:7" x14ac:dyDescent="0.2">
      <c r="A637" s="44" t="s">
        <v>719</v>
      </c>
      <c r="B637" s="257" cm="1">
        <f t="array" aca="1" ref="B637" ca="1">IF(ISBLANK(INDIRECT(MID(_xlfn.FORMULATEXT(C637),2,LEN(_xlfn.FORMULATEXT(C637))-1)))=TRUE,"",C637)</f>
        <v>163</v>
      </c>
      <c r="C637" s="65">
        <f>'CDS-H'!D80</f>
        <v>163</v>
      </c>
      <c r="D637" s="17" t="s">
        <v>675</v>
      </c>
      <c r="E637" s="48">
        <v>45</v>
      </c>
      <c r="F637" s="17" t="s">
        <v>384</v>
      </c>
      <c r="G637" s="17"/>
    </row>
    <row r="638" spans="1:7" x14ac:dyDescent="0.2">
      <c r="A638" s="44" t="s">
        <v>720</v>
      </c>
      <c r="B638" s="257" cm="1">
        <f t="array" aca="1" ref="B638" ca="1">IF(ISBLANK(INDIRECT(MID(_xlfn.FORMULATEXT(C638),2,LEN(_xlfn.FORMULATEXT(C638))-1)))=TRUE,"",C638)</f>
        <v>1</v>
      </c>
      <c r="C638" s="65">
        <f>'CDS-H'!E80</f>
        <v>1</v>
      </c>
      <c r="D638" s="17" t="s">
        <v>675</v>
      </c>
      <c r="E638" s="48">
        <v>46</v>
      </c>
      <c r="F638" s="17" t="s">
        <v>384</v>
      </c>
      <c r="G638" s="17"/>
    </row>
    <row r="639" spans="1:7" x14ac:dyDescent="0.2">
      <c r="A639" s="44" t="s">
        <v>721</v>
      </c>
      <c r="B639" s="257" cm="1">
        <f t="array" aca="1" ref="B639" ca="1">IF(ISBLANK(INDIRECT(MID(_xlfn.FORMULATEXT(C639),2,LEN(_xlfn.FORMULATEXT(C639))-1)))=TRUE,"",C639)</f>
        <v>96</v>
      </c>
      <c r="C639" s="65">
        <f>'CDS-H'!C81</f>
        <v>96</v>
      </c>
      <c r="D639" s="17" t="s">
        <v>675</v>
      </c>
      <c r="E639" s="48">
        <v>47</v>
      </c>
      <c r="F639" s="17" t="s">
        <v>384</v>
      </c>
      <c r="G639" s="17"/>
    </row>
    <row r="640" spans="1:7" x14ac:dyDescent="0.2">
      <c r="A640" s="44" t="s">
        <v>722</v>
      </c>
      <c r="B640" s="257" cm="1">
        <f t="array" aca="1" ref="B640" ca="1">IF(ISBLANK(INDIRECT(MID(_xlfn.FORMULATEXT(C640),2,LEN(_xlfn.FORMULATEXT(C640))-1)))=TRUE,"",C640)</f>
        <v>344</v>
      </c>
      <c r="C640" s="65">
        <f>'CDS-H'!D81</f>
        <v>344</v>
      </c>
      <c r="D640" s="17" t="s">
        <v>675</v>
      </c>
      <c r="E640" s="48">
        <v>48</v>
      </c>
      <c r="F640" s="17" t="s">
        <v>384</v>
      </c>
      <c r="G640" s="17"/>
    </row>
    <row r="641" spans="1:7" x14ac:dyDescent="0.2">
      <c r="A641" s="44" t="s">
        <v>723</v>
      </c>
      <c r="B641" s="257" cm="1">
        <f t="array" aca="1" ref="B641" ca="1">IF(ISBLANK(INDIRECT(MID(_xlfn.FORMULATEXT(C641),2,LEN(_xlfn.FORMULATEXT(C641))-1)))=TRUE,"",C641)</f>
        <v>8</v>
      </c>
      <c r="C641" s="65">
        <f>'CDS-H'!E81</f>
        <v>8</v>
      </c>
      <c r="D641" s="17" t="s">
        <v>675</v>
      </c>
      <c r="E641" s="48">
        <v>49</v>
      </c>
      <c r="F641" s="17" t="s">
        <v>384</v>
      </c>
      <c r="G641" s="17"/>
    </row>
    <row r="642" spans="1:7" x14ac:dyDescent="0.2">
      <c r="A642" s="44" t="s">
        <v>724</v>
      </c>
      <c r="B642" s="257" cm="1">
        <f t="array" aca="1" ref="B642" ca="1">IF(ISBLANK(INDIRECT(MID(_xlfn.FORMULATEXT(G642),2,LEN(_xlfn.FORMULATEXT(G642))-1)))=TRUE,"",C642)</f>
        <v>92.5</v>
      </c>
      <c r="C642" s="260">
        <f>ROUND(TRUNC(G642*100, 1), 1)</f>
        <v>92.5</v>
      </c>
      <c r="D642" s="17" t="s">
        <v>675</v>
      </c>
      <c r="E642" s="48">
        <v>50</v>
      </c>
      <c r="F642" s="17" t="s">
        <v>381</v>
      </c>
      <c r="G642" s="250">
        <f>'CDS-H'!C82</f>
        <v>0.92500000000000004</v>
      </c>
    </row>
    <row r="643" spans="1:7" x14ac:dyDescent="0.2">
      <c r="A643" s="44" t="s">
        <v>725</v>
      </c>
      <c r="B643" s="257" cm="1">
        <f t="array" aca="1" ref="B643" ca="1">IF(ISBLANK(INDIRECT(MID(_xlfn.FORMULATEXT(G643),2,LEN(_xlfn.FORMULATEXT(G643))-1)))=TRUE,"",C643)</f>
        <v>93.2</v>
      </c>
      <c r="C643" s="260">
        <f>ROUND(TRUNC(G643*100, 1), 1)</f>
        <v>93.2</v>
      </c>
      <c r="D643" s="17" t="s">
        <v>675</v>
      </c>
      <c r="E643" s="48">
        <v>51</v>
      </c>
      <c r="F643" s="17" t="s">
        <v>381</v>
      </c>
      <c r="G643" s="250">
        <f>'CDS-H'!D82</f>
        <v>0.93200000000000005</v>
      </c>
    </row>
    <row r="644" spans="1:7" x14ac:dyDescent="0.2">
      <c r="A644" s="44" t="s">
        <v>726</v>
      </c>
      <c r="B644" s="257" cm="1">
        <f t="array" aca="1" ref="B644" ca="1">IF(ISBLANK(INDIRECT(MID(_xlfn.FORMULATEXT(G644),2,LEN(_xlfn.FORMULATEXT(G644))-1)))=TRUE,"",C644)</f>
        <v>86.9</v>
      </c>
      <c r="C644" s="260">
        <f>ROUND(TRUNC(G644*100, 1), 1)</f>
        <v>86.9</v>
      </c>
      <c r="D644" s="17" t="s">
        <v>675</v>
      </c>
      <c r="E644" s="48">
        <v>52</v>
      </c>
      <c r="F644" s="17" t="s">
        <v>381</v>
      </c>
      <c r="G644" s="250">
        <f>'CDS-H'!E82</f>
        <v>0.86899999999999999</v>
      </c>
    </row>
    <row r="645" spans="1:7" x14ac:dyDescent="0.2">
      <c r="A645" s="44" t="s">
        <v>727</v>
      </c>
      <c r="B645" s="257" cm="1">
        <f t="array" aca="1" ref="B645" ca="1">IF(ISBLANK(INDIRECT(MID(_xlfn.FORMULATEXT(C645),2,LEN(_xlfn.FORMULATEXT(C645))-1)))=TRUE,"",C645)</f>
        <v>52433.93</v>
      </c>
      <c r="C645" s="266">
        <f>'CDS-H'!C83</f>
        <v>52433.93</v>
      </c>
      <c r="D645" s="17" t="s">
        <v>675</v>
      </c>
      <c r="E645" s="48">
        <v>53</v>
      </c>
      <c r="F645" s="17" t="s">
        <v>492</v>
      </c>
      <c r="G645" s="17"/>
    </row>
    <row r="646" spans="1:7" x14ac:dyDescent="0.2">
      <c r="A646" s="44" t="s">
        <v>728</v>
      </c>
      <c r="B646" s="257" cm="1">
        <f t="array" aca="1" ref="B646" ca="1">IF(ISBLANK(INDIRECT(MID(_xlfn.FORMULATEXT(C646),2,LEN(_xlfn.FORMULATEXT(C646))-1)))=TRUE,"",C646)</f>
        <v>51761.2</v>
      </c>
      <c r="C646" s="266">
        <f>'CDS-H'!D83</f>
        <v>51761.2</v>
      </c>
      <c r="D646" s="17" t="s">
        <v>675</v>
      </c>
      <c r="E646" s="48">
        <v>54</v>
      </c>
      <c r="F646" s="17" t="s">
        <v>492</v>
      </c>
      <c r="G646" s="17"/>
    </row>
    <row r="647" spans="1:7" x14ac:dyDescent="0.2">
      <c r="A647" s="44" t="s">
        <v>729</v>
      </c>
      <c r="B647" s="257" cm="1">
        <f t="array" aca="1" ref="B647" ca="1">IF(ISBLANK(INDIRECT(MID(_xlfn.FORMULATEXT(C647),2,LEN(_xlfn.FORMULATEXT(C647))-1)))=TRUE,"",C647)</f>
        <v>41992.74</v>
      </c>
      <c r="C647" s="266">
        <f>'CDS-H'!E83</f>
        <v>41992.74</v>
      </c>
      <c r="D647" s="17" t="s">
        <v>675</v>
      </c>
      <c r="E647" s="48">
        <v>55</v>
      </c>
      <c r="F647" s="17" t="s">
        <v>492</v>
      </c>
      <c r="G647" s="17"/>
    </row>
    <row r="648" spans="1:7" x14ac:dyDescent="0.2">
      <c r="A648" s="44" t="s">
        <v>730</v>
      </c>
      <c r="B648" s="257" cm="1">
        <f t="array" aca="1" ref="B648" ca="1">IF(ISBLANK(INDIRECT(MID(_xlfn.FORMULATEXT(C648),2,LEN(_xlfn.FORMULATEXT(C648))-1)))=TRUE,"",C648)</f>
        <v>39179.33</v>
      </c>
      <c r="C648" s="266">
        <f>'CDS-H'!C84</f>
        <v>39179.33</v>
      </c>
      <c r="D648" s="17" t="s">
        <v>675</v>
      </c>
      <c r="E648" s="48">
        <v>56</v>
      </c>
      <c r="F648" s="17" t="s">
        <v>492</v>
      </c>
      <c r="G648" s="17"/>
    </row>
    <row r="649" spans="1:7" x14ac:dyDescent="0.2">
      <c r="A649" s="44" t="s">
        <v>731</v>
      </c>
      <c r="B649" s="257" cm="1">
        <f t="array" aca="1" ref="B649" ca="1">IF(ISBLANK(INDIRECT(MID(_xlfn.FORMULATEXT(C649),2,LEN(_xlfn.FORMULATEXT(C649))-1)))=TRUE,"",C649)</f>
        <v>38746.53</v>
      </c>
      <c r="C649" s="266">
        <f>'CDS-H'!D84</f>
        <v>38746.53</v>
      </c>
      <c r="D649" s="17" t="s">
        <v>675</v>
      </c>
      <c r="E649" s="48">
        <v>57</v>
      </c>
      <c r="F649" s="17" t="s">
        <v>492</v>
      </c>
      <c r="G649" s="17"/>
    </row>
    <row r="650" spans="1:7" x14ac:dyDescent="0.2">
      <c r="A650" s="44" t="s">
        <v>732</v>
      </c>
      <c r="B650" s="257" cm="1">
        <f t="array" aca="1" ref="B650" ca="1">IF(ISBLANK(INDIRECT(MID(_xlfn.FORMULATEXT(C650),2,LEN(_xlfn.FORMULATEXT(C650))-1)))=TRUE,"",C650)</f>
        <v>30959.34</v>
      </c>
      <c r="C650" s="266">
        <f>'CDS-H'!E84</f>
        <v>30959.34</v>
      </c>
      <c r="D650" s="17" t="s">
        <v>675</v>
      </c>
      <c r="E650" s="48">
        <v>58</v>
      </c>
      <c r="F650" s="17" t="s">
        <v>492</v>
      </c>
      <c r="G650" s="17"/>
    </row>
    <row r="651" spans="1:7" x14ac:dyDescent="0.2">
      <c r="A651" s="44" t="s">
        <v>733</v>
      </c>
      <c r="B651" s="257" cm="1">
        <f t="array" aca="1" ref="B651" ca="1">IF(ISBLANK(INDIRECT(MID(_xlfn.FORMULATEXT(C651),2,LEN(_xlfn.FORMULATEXT(C651))-1)))=TRUE,"",C651)</f>
        <v>2852.24</v>
      </c>
      <c r="C651" s="266">
        <f>'CDS-H'!C85</f>
        <v>2852.24</v>
      </c>
      <c r="D651" s="17" t="s">
        <v>675</v>
      </c>
      <c r="E651" s="48">
        <v>59</v>
      </c>
      <c r="F651" s="17" t="s">
        <v>492</v>
      </c>
      <c r="G651" s="17"/>
    </row>
    <row r="652" spans="1:7" x14ac:dyDescent="0.2">
      <c r="A652" s="44" t="s">
        <v>734</v>
      </c>
      <c r="B652" s="257" cm="1">
        <f t="array" aca="1" ref="B652" ca="1">IF(ISBLANK(INDIRECT(MID(_xlfn.FORMULATEXT(C652),2,LEN(_xlfn.FORMULATEXT(C652))-1)))=TRUE,"",C652)</f>
        <v>3420.77</v>
      </c>
      <c r="C652" s="266">
        <f>'CDS-H'!D85</f>
        <v>3420.77</v>
      </c>
      <c r="D652" s="17" t="s">
        <v>675</v>
      </c>
      <c r="E652" s="48">
        <v>60</v>
      </c>
      <c r="F652" s="17" t="s">
        <v>492</v>
      </c>
      <c r="G652" s="17"/>
    </row>
    <row r="653" spans="1:7" x14ac:dyDescent="0.2">
      <c r="A653" s="44" t="s">
        <v>735</v>
      </c>
      <c r="B653" s="257" cm="1">
        <f t="array" aca="1" ref="B653" ca="1">IF(ISBLANK(INDIRECT(MID(_xlfn.FORMULATEXT(C653),2,LEN(_xlfn.FORMULATEXT(C653))-1)))=TRUE,"",C653)</f>
        <v>2843.49</v>
      </c>
      <c r="C653" s="266">
        <f>'CDS-H'!E85</f>
        <v>2843.49</v>
      </c>
      <c r="D653" s="17" t="s">
        <v>675</v>
      </c>
      <c r="E653" s="48">
        <v>61</v>
      </c>
      <c r="F653" s="17" t="s">
        <v>492</v>
      </c>
      <c r="G653" s="17"/>
    </row>
    <row r="654" spans="1:7" x14ac:dyDescent="0.2">
      <c r="A654" s="44" t="s">
        <v>736</v>
      </c>
      <c r="B654" s="257" cm="1">
        <f t="array" aca="1" ref="B654" ca="1">IF(ISBLANK(INDIRECT(MID(_xlfn.FORMULATEXT(C654),2,LEN(_xlfn.FORMULATEXT(C654))-1)))=TRUE,"",C654)</f>
        <v>1577.7</v>
      </c>
      <c r="C654" s="266">
        <f>'CDS-H'!C86</f>
        <v>1577.7</v>
      </c>
      <c r="D654" s="17" t="s">
        <v>675</v>
      </c>
      <c r="E654" s="48">
        <v>62</v>
      </c>
      <c r="F654" s="17" t="s">
        <v>492</v>
      </c>
      <c r="G654" s="17"/>
    </row>
    <row r="655" spans="1:7" x14ac:dyDescent="0.2">
      <c r="A655" s="44" t="s">
        <v>737</v>
      </c>
      <c r="B655" s="257" cm="1">
        <f t="array" aca="1" ref="B655" ca="1">IF(ISBLANK(INDIRECT(MID(_xlfn.FORMULATEXT(C655),2,LEN(_xlfn.FORMULATEXT(C655))-1)))=TRUE,"",C655)</f>
        <v>2124.4299999999998</v>
      </c>
      <c r="C655" s="266">
        <f>'CDS-H'!D86</f>
        <v>2124.4299999999998</v>
      </c>
      <c r="D655" s="17" t="s">
        <v>675</v>
      </c>
      <c r="E655" s="48">
        <v>63</v>
      </c>
      <c r="F655" s="17" t="s">
        <v>492</v>
      </c>
      <c r="G655" s="17"/>
    </row>
    <row r="656" spans="1:7" x14ac:dyDescent="0.2">
      <c r="A656" s="44" t="s">
        <v>738</v>
      </c>
      <c r="B656" s="257" cm="1">
        <f t="array" aca="1" ref="B656" ca="1">IF(ISBLANK(INDIRECT(MID(_xlfn.FORMULATEXT(C656),2,LEN(_xlfn.FORMULATEXT(C656))-1)))=TRUE,"",C656)</f>
        <v>2111.5700000000002</v>
      </c>
      <c r="C656" s="266">
        <f>'CDS-H'!E86</f>
        <v>2111.5700000000002</v>
      </c>
      <c r="D656" s="17" t="s">
        <v>675</v>
      </c>
      <c r="E656" s="48">
        <v>64</v>
      </c>
      <c r="F656" s="17" t="s">
        <v>492</v>
      </c>
      <c r="G656" s="17"/>
    </row>
    <row r="657" spans="1:7" x14ac:dyDescent="0.2">
      <c r="A657" s="44" t="s">
        <v>739</v>
      </c>
      <c r="B657" s="257" cm="1">
        <f t="array" aca="1" ref="B657" ca="1">IF(ISBLANK(INDIRECT(MID(_xlfn.FORMULATEXT(C657),2,LEN(_xlfn.FORMULATEXT(C657))-1)))=TRUE,"",C657)</f>
        <v>58</v>
      </c>
      <c r="C657" s="65">
        <f>'CDS-H'!C98</f>
        <v>58</v>
      </c>
      <c r="D657" s="17" t="s">
        <v>675</v>
      </c>
      <c r="E657" s="48">
        <v>65</v>
      </c>
      <c r="F657" s="17" t="s">
        <v>384</v>
      </c>
      <c r="G657" s="17"/>
    </row>
    <row r="658" spans="1:7" x14ac:dyDescent="0.2">
      <c r="A658" s="44" t="s">
        <v>740</v>
      </c>
      <c r="B658" s="257" cm="1">
        <f t="array" aca="1" ref="B658" ca="1">IF(ISBLANK(INDIRECT(MID(_xlfn.FORMULATEXT(C658),2,LEN(_xlfn.FORMULATEXT(C658))-1)))=TRUE,"",C658)</f>
        <v>325</v>
      </c>
      <c r="C658" s="65">
        <f>'CDS-H'!D98</f>
        <v>325</v>
      </c>
      <c r="D658" s="17" t="s">
        <v>675</v>
      </c>
      <c r="E658" s="48">
        <v>66</v>
      </c>
      <c r="F658" s="17" t="s">
        <v>384</v>
      </c>
      <c r="G658" s="17"/>
    </row>
    <row r="659" spans="1:7" x14ac:dyDescent="0.2">
      <c r="A659" s="44" t="s">
        <v>741</v>
      </c>
      <c r="B659" s="257" cm="1">
        <f t="array" aca="1" ref="B659" ca="1">IF(ISBLANK(INDIRECT(MID(_xlfn.FORMULATEXT(C659),2,LEN(_xlfn.FORMULATEXT(C659))-1)))=TRUE,"",C659)</f>
        <v>33</v>
      </c>
      <c r="C659" s="65">
        <f>'CDS-H'!E98</f>
        <v>33</v>
      </c>
      <c r="D659" s="17" t="s">
        <v>675</v>
      </c>
      <c r="E659" s="48">
        <v>67</v>
      </c>
      <c r="F659" s="17" t="s">
        <v>384</v>
      </c>
      <c r="G659" s="17"/>
    </row>
    <row r="660" spans="1:7" x14ac:dyDescent="0.2">
      <c r="A660" s="44" t="s">
        <v>742</v>
      </c>
      <c r="B660" s="257" cm="1">
        <f t="array" aca="1" ref="B660" ca="1">IF(ISBLANK(INDIRECT(MID(_xlfn.FORMULATEXT(C660),2,LEN(_xlfn.FORMULATEXT(C660))-1)))=TRUE,"",C660)</f>
        <v>33410.199999999997</v>
      </c>
      <c r="C660" s="266">
        <f>'CDS-H'!C99</f>
        <v>33410.199999999997</v>
      </c>
      <c r="D660" s="17" t="s">
        <v>675</v>
      </c>
      <c r="E660" s="48">
        <v>68</v>
      </c>
      <c r="F660" s="17" t="s">
        <v>492</v>
      </c>
      <c r="G660" s="17"/>
    </row>
    <row r="661" spans="1:7" x14ac:dyDescent="0.2">
      <c r="A661" s="44" t="s">
        <v>743</v>
      </c>
      <c r="B661" s="257" cm="1">
        <f t="array" aca="1" ref="B661" ca="1">IF(ISBLANK(INDIRECT(MID(_xlfn.FORMULATEXT(C661),2,LEN(_xlfn.FORMULATEXT(C661))-1)))=TRUE,"",C661)</f>
        <v>31511.26</v>
      </c>
      <c r="C661" s="266">
        <f>'CDS-H'!D99</f>
        <v>31511.26</v>
      </c>
      <c r="D661" s="17" t="s">
        <v>675</v>
      </c>
      <c r="E661" s="48">
        <v>69</v>
      </c>
      <c r="F661" s="17" t="s">
        <v>492</v>
      </c>
      <c r="G661" s="17"/>
    </row>
    <row r="662" spans="1:7" x14ac:dyDescent="0.2">
      <c r="A662" s="44" t="s">
        <v>744</v>
      </c>
      <c r="B662" s="257" cm="1">
        <f t="array" aca="1" ref="B662" ca="1">IF(ISBLANK(INDIRECT(MID(_xlfn.FORMULATEXT(C662),2,LEN(_xlfn.FORMULATEXT(C662))-1)))=TRUE,"",C662)</f>
        <v>26700</v>
      </c>
      <c r="C662" s="266">
        <f>'CDS-H'!E99</f>
        <v>26700</v>
      </c>
      <c r="D662" s="17" t="s">
        <v>675</v>
      </c>
      <c r="E662" s="48">
        <v>70</v>
      </c>
      <c r="F662" s="17" t="s">
        <v>492</v>
      </c>
      <c r="G662" s="17"/>
    </row>
    <row r="663" spans="1:7" ht="17" x14ac:dyDescent="0.2">
      <c r="A663" s="44" t="s">
        <v>745</v>
      </c>
      <c r="B663" s="257" t="str" cm="1">
        <f t="array" aca="1" ref="B663" ca="1">IF(ISBLANK(INDIRECT(MID(_xlfn.FORMULATEXT(C663),2,LEN(_xlfn.FORMULATEXT(C663))-1)))=TRUE,"",C663)</f>
        <v/>
      </c>
      <c r="C663" s="65">
        <f>'CDS-H'!C100</f>
        <v>0</v>
      </c>
      <c r="D663" s="17" t="s">
        <v>675</v>
      </c>
      <c r="E663" s="48">
        <v>71</v>
      </c>
      <c r="F663" s="17" t="s">
        <v>384</v>
      </c>
      <c r="G663" s="17"/>
    </row>
    <row r="664" spans="1:7" ht="17" x14ac:dyDescent="0.2">
      <c r="A664" s="44" t="s">
        <v>746</v>
      </c>
      <c r="B664" s="257" t="str" cm="1">
        <f t="array" aca="1" ref="B664" ca="1">IF(ISBLANK(INDIRECT(MID(_xlfn.FORMULATEXT(C664),2,LEN(_xlfn.FORMULATEXT(C664))-1)))=TRUE,"",C664)</f>
        <v/>
      </c>
      <c r="C664" s="65">
        <f>'CDS-H'!D100</f>
        <v>0</v>
      </c>
      <c r="D664" s="17" t="s">
        <v>675</v>
      </c>
      <c r="E664" s="48">
        <v>72</v>
      </c>
      <c r="F664" s="17" t="s">
        <v>384</v>
      </c>
      <c r="G664" s="17"/>
    </row>
    <row r="665" spans="1:7" ht="17" x14ac:dyDescent="0.2">
      <c r="A665" s="44" t="s">
        <v>747</v>
      </c>
      <c r="B665" s="257" t="str" cm="1">
        <f t="array" aca="1" ref="B665" ca="1">IF(ISBLANK(INDIRECT(MID(_xlfn.FORMULATEXT(C665),2,LEN(_xlfn.FORMULATEXT(C665))-1)))=TRUE,"",C665)</f>
        <v/>
      </c>
      <c r="C665" s="65">
        <f>'CDS-H'!E100</f>
        <v>0</v>
      </c>
      <c r="D665" s="17" t="s">
        <v>675</v>
      </c>
      <c r="E665" s="48">
        <v>73</v>
      </c>
      <c r="F665" s="17" t="s">
        <v>384</v>
      </c>
      <c r="G665" s="17"/>
    </row>
    <row r="666" spans="1:7" ht="17" x14ac:dyDescent="0.2">
      <c r="A666" s="44" t="s">
        <v>748</v>
      </c>
      <c r="B666" s="257" t="str" cm="1">
        <f t="array" aca="1" ref="B666" ca="1">IF(ISBLANK(INDIRECT(MID(_xlfn.FORMULATEXT(C666),2,LEN(_xlfn.FORMULATEXT(C666))-1)))=TRUE,"",C666)</f>
        <v/>
      </c>
      <c r="C666" s="266">
        <f>'CDS-H'!C101</f>
        <v>0</v>
      </c>
      <c r="D666" s="17" t="s">
        <v>675</v>
      </c>
      <c r="E666" s="48">
        <v>74</v>
      </c>
      <c r="F666" s="17" t="s">
        <v>492</v>
      </c>
      <c r="G666" s="17"/>
    </row>
    <row r="667" spans="1:7" ht="17" x14ac:dyDescent="0.2">
      <c r="A667" s="44" t="s">
        <v>749</v>
      </c>
      <c r="B667" s="257" t="str" cm="1">
        <f t="array" aca="1" ref="B667" ca="1">IF(ISBLANK(INDIRECT(MID(_xlfn.FORMULATEXT(C667),2,LEN(_xlfn.FORMULATEXT(C667))-1)))=TRUE,"",C667)</f>
        <v/>
      </c>
      <c r="C667" s="266">
        <f>'CDS-H'!D101</f>
        <v>0</v>
      </c>
      <c r="D667" s="17" t="s">
        <v>675</v>
      </c>
      <c r="E667" s="48">
        <v>75</v>
      </c>
      <c r="F667" s="17" t="s">
        <v>492</v>
      </c>
      <c r="G667" s="17"/>
    </row>
    <row r="668" spans="1:7" ht="17" x14ac:dyDescent="0.2">
      <c r="A668" s="44" t="s">
        <v>750</v>
      </c>
      <c r="B668" s="257" t="str" cm="1">
        <f t="array" aca="1" ref="B668" ca="1">IF(ISBLANK(INDIRECT(MID(_xlfn.FORMULATEXT(C668),2,LEN(_xlfn.FORMULATEXT(C668))-1)))=TRUE,"",C668)</f>
        <v/>
      </c>
      <c r="C668" s="266">
        <f>'CDS-H'!E101</f>
        <v>0</v>
      </c>
      <c r="D668" s="17" t="s">
        <v>675</v>
      </c>
      <c r="E668" s="48">
        <v>76</v>
      </c>
      <c r="F668" s="17" t="s">
        <v>492</v>
      </c>
      <c r="G668" s="17"/>
    </row>
    <row r="669" spans="1:7" x14ac:dyDescent="0.2">
      <c r="A669" s="44" t="s">
        <v>751</v>
      </c>
      <c r="B669" s="257" cm="1">
        <f t="array" aca="1" ref="B669" ca="1">IF(ISBLANK(INDIRECT(MID(_xlfn.FORMULATEXT(C669),2,LEN(_xlfn.FORMULATEXT(C669))-1)))=TRUE,"",C669)</f>
        <v>356</v>
      </c>
      <c r="C669" s="65">
        <f>'CDS-H'!D119</f>
        <v>356</v>
      </c>
      <c r="D669" s="17" t="s">
        <v>675</v>
      </c>
      <c r="E669" s="48">
        <v>77</v>
      </c>
      <c r="F669" s="17" t="s">
        <v>384</v>
      </c>
      <c r="G669" s="17"/>
    </row>
    <row r="670" spans="1:7" x14ac:dyDescent="0.2">
      <c r="A670" s="44" t="s">
        <v>752</v>
      </c>
      <c r="B670" s="257" cm="1">
        <f t="array" aca="1" ref="B670" ca="1">IF(ISBLANK(INDIRECT(MID(_xlfn.FORMULATEXT(C670),2,LEN(_xlfn.FORMULATEXT(C670))-1)))=TRUE,"",C670)</f>
        <v>209</v>
      </c>
      <c r="C670" s="65">
        <f>'CDS-H'!C134</f>
        <v>209</v>
      </c>
      <c r="D670" s="17" t="s">
        <v>675</v>
      </c>
      <c r="E670" s="48">
        <v>78</v>
      </c>
      <c r="F670" s="17" t="s">
        <v>384</v>
      </c>
      <c r="G670" s="17"/>
    </row>
    <row r="671" spans="1:7" x14ac:dyDescent="0.2">
      <c r="A671" s="44" t="s">
        <v>753</v>
      </c>
      <c r="B671" s="257" cm="1">
        <f t="array" aca="1" ref="B671" ca="1">IF(ISBLANK(INDIRECT(MID(_xlfn.FORMULATEXT(G671),2,LEN(_xlfn.FORMULATEXT(G671))-1)))=TRUE,"",C671)</f>
        <v>59</v>
      </c>
      <c r="C671" s="260">
        <f>ROUND(TRUNC(G671*100, 1), 1)</f>
        <v>59</v>
      </c>
      <c r="D671" s="17" t="s">
        <v>675</v>
      </c>
      <c r="E671" s="48">
        <v>79</v>
      </c>
      <c r="F671" s="17" t="s">
        <v>381</v>
      </c>
      <c r="G671" s="249">
        <f>'CDS-H'!D134</f>
        <v>0.59</v>
      </c>
    </row>
    <row r="672" spans="1:7" x14ac:dyDescent="0.2">
      <c r="A672" s="44" t="s">
        <v>754</v>
      </c>
      <c r="B672" s="257" cm="1">
        <f t="array" aca="1" ref="B672" ca="1">IF(ISBLANK(INDIRECT(MID(_xlfn.FORMULATEXT(C672),2,LEN(_xlfn.FORMULATEXT(C672))-1)))=TRUE,"",C672)</f>
        <v>12554</v>
      </c>
      <c r="C672" s="266">
        <f>'CDS-H'!E134</f>
        <v>12554</v>
      </c>
      <c r="D672" s="17" t="s">
        <v>675</v>
      </c>
      <c r="E672" s="48">
        <v>80</v>
      </c>
      <c r="F672" s="17" t="s">
        <v>492</v>
      </c>
      <c r="G672" s="17"/>
    </row>
    <row r="673" spans="1:7" x14ac:dyDescent="0.2">
      <c r="A673" s="44" t="s">
        <v>755</v>
      </c>
      <c r="B673" s="257" cm="1">
        <f t="array" aca="1" ref="B673" ca="1">IF(ISBLANK(INDIRECT(MID(_xlfn.FORMULATEXT(C673),2,LEN(_xlfn.FORMULATEXT(C673))-1)))=TRUE,"",C673)</f>
        <v>177</v>
      </c>
      <c r="C673" s="65">
        <f>'CDS-H'!C135</f>
        <v>177</v>
      </c>
      <c r="D673" s="17" t="s">
        <v>675</v>
      </c>
      <c r="E673" s="48">
        <v>81</v>
      </c>
      <c r="F673" s="17" t="s">
        <v>384</v>
      </c>
      <c r="G673" s="17"/>
    </row>
    <row r="674" spans="1:7" x14ac:dyDescent="0.2">
      <c r="A674" s="44" t="s">
        <v>756</v>
      </c>
      <c r="B674" s="257" cm="1">
        <f t="array" aca="1" ref="B674" ca="1">IF(ISBLANK(INDIRECT(MID(_xlfn.FORMULATEXT(G674),2,LEN(_xlfn.FORMULATEXT(G674))-1)))=TRUE,"",C674)</f>
        <v>50</v>
      </c>
      <c r="C674" s="260">
        <f>ROUND(TRUNC(G674*100, 1), 1)</f>
        <v>50</v>
      </c>
      <c r="D674" s="17" t="s">
        <v>675</v>
      </c>
      <c r="E674" s="48">
        <v>82</v>
      </c>
      <c r="F674" s="17" t="s">
        <v>381</v>
      </c>
      <c r="G674" s="249">
        <f>'CDS-H'!D135</f>
        <v>0.5</v>
      </c>
    </row>
    <row r="675" spans="1:7" x14ac:dyDescent="0.2">
      <c r="A675" s="44" t="s">
        <v>757</v>
      </c>
      <c r="B675" s="257" cm="1">
        <f t="array" aca="1" ref="B675" ca="1">IF(ISBLANK(INDIRECT(MID(_xlfn.FORMULATEXT(C675),2,LEN(_xlfn.FORMULATEXT(C675))-1)))=TRUE,"",C675)</f>
        <v>4970</v>
      </c>
      <c r="C675" s="266">
        <f>'CDS-H'!E135</f>
        <v>4970</v>
      </c>
      <c r="D675" s="17" t="s">
        <v>675</v>
      </c>
      <c r="E675" s="48">
        <v>83</v>
      </c>
      <c r="F675" s="17" t="s">
        <v>492</v>
      </c>
      <c r="G675" s="17"/>
    </row>
    <row r="676" spans="1:7" x14ac:dyDescent="0.2">
      <c r="A676" s="44" t="s">
        <v>758</v>
      </c>
      <c r="B676" s="257" cm="1">
        <f t="array" aca="1" ref="B676" ca="1">IF(ISBLANK(INDIRECT(MID(_xlfn.FORMULATEXT(C676),2,LEN(_xlfn.FORMULATEXT(C676))-1)))=TRUE,"",C676)</f>
        <v>4</v>
      </c>
      <c r="C676" s="65">
        <f>'CDS-H'!C136</f>
        <v>4</v>
      </c>
      <c r="D676" s="17" t="s">
        <v>675</v>
      </c>
      <c r="E676" s="48">
        <v>84</v>
      </c>
      <c r="F676" s="17" t="s">
        <v>384</v>
      </c>
      <c r="G676" s="17"/>
    </row>
    <row r="677" spans="1:7" x14ac:dyDescent="0.2">
      <c r="A677" s="44" t="s">
        <v>759</v>
      </c>
      <c r="B677" s="257" cm="1">
        <f t="array" aca="1" ref="B677" ca="1">IF(ISBLANK(INDIRECT(MID(_xlfn.FORMULATEXT(G677),2,LEN(_xlfn.FORMULATEXT(G677))-1)))=TRUE,"",C677)</f>
        <v>1</v>
      </c>
      <c r="C677" s="260">
        <f>ROUND(TRUNC(G677*100, 1), 1)</f>
        <v>1</v>
      </c>
      <c r="D677" s="17" t="s">
        <v>675</v>
      </c>
      <c r="E677" s="48">
        <v>85</v>
      </c>
      <c r="F677" s="17" t="s">
        <v>381</v>
      </c>
      <c r="G677" s="249">
        <f>'CDS-H'!D136</f>
        <v>0.01</v>
      </c>
    </row>
    <row r="678" spans="1:7" x14ac:dyDescent="0.2">
      <c r="A678" s="44" t="s">
        <v>760</v>
      </c>
      <c r="B678" s="257" cm="1">
        <f t="array" aca="1" ref="B678" ca="1">IF(ISBLANK(INDIRECT(MID(_xlfn.FORMULATEXT(C678),2,LEN(_xlfn.FORMULATEXT(C678))-1)))=TRUE,"",C678)</f>
        <v>4609</v>
      </c>
      <c r="C678" s="266">
        <f>'CDS-H'!E136</f>
        <v>4609</v>
      </c>
      <c r="D678" s="17" t="s">
        <v>675</v>
      </c>
      <c r="E678" s="48">
        <v>86</v>
      </c>
      <c r="F678" s="17" t="s">
        <v>492</v>
      </c>
      <c r="G678" s="17"/>
    </row>
    <row r="679" spans="1:7" x14ac:dyDescent="0.2">
      <c r="A679" s="44" t="s">
        <v>761</v>
      </c>
      <c r="B679" s="257" cm="1">
        <f t="array" aca="1" ref="B679" ca="1">IF(ISBLANK(INDIRECT(MID(_xlfn.FORMULATEXT(C679),2,LEN(_xlfn.FORMULATEXT(C679))-1)))=TRUE,"",C679)</f>
        <v>61</v>
      </c>
      <c r="C679" s="65">
        <f>'CDS-H'!C137</f>
        <v>61</v>
      </c>
      <c r="D679" s="17" t="s">
        <v>675</v>
      </c>
      <c r="E679" s="48">
        <v>87</v>
      </c>
      <c r="F679" s="17" t="s">
        <v>384</v>
      </c>
      <c r="G679" s="17"/>
    </row>
    <row r="680" spans="1:7" x14ac:dyDescent="0.2">
      <c r="A680" s="44" t="s">
        <v>762</v>
      </c>
      <c r="B680" s="257" cm="1">
        <f t="array" aca="1" ref="B680" ca="1">IF(ISBLANK(INDIRECT(MID(_xlfn.FORMULATEXT(G680),2,LEN(_xlfn.FORMULATEXT(G680))-1)))=TRUE,"",C680)</f>
        <v>17</v>
      </c>
      <c r="C680" s="260">
        <f>ROUND(TRUNC(G680*100, 1), 1)</f>
        <v>17</v>
      </c>
      <c r="D680" s="17" t="s">
        <v>675</v>
      </c>
      <c r="E680" s="48">
        <v>88</v>
      </c>
      <c r="F680" s="17" t="s">
        <v>381</v>
      </c>
      <c r="G680" s="249">
        <f>'CDS-H'!D137</f>
        <v>0.17</v>
      </c>
    </row>
    <row r="681" spans="1:7" x14ac:dyDescent="0.2">
      <c r="A681" s="44" t="s">
        <v>763</v>
      </c>
      <c r="B681" s="257" cm="1">
        <f t="array" aca="1" ref="B681" ca="1">IF(ISBLANK(INDIRECT(MID(_xlfn.FORMULATEXT(C681),2,LEN(_xlfn.FORMULATEXT(C681))-1)))=TRUE,"",C681)</f>
        <v>17303</v>
      </c>
      <c r="C681" s="266">
        <f>'CDS-H'!E137</f>
        <v>17303</v>
      </c>
      <c r="D681" s="17" t="s">
        <v>675</v>
      </c>
      <c r="E681" s="48">
        <v>89</v>
      </c>
      <c r="F681" s="17" t="s">
        <v>492</v>
      </c>
      <c r="G681" s="17"/>
    </row>
    <row r="682" spans="1:7" ht="17" x14ac:dyDescent="0.2">
      <c r="A682" s="44" t="s">
        <v>764</v>
      </c>
      <c r="B682" s="257" t="str" cm="1">
        <f t="array" aca="1" ref="B682" ca="1">IF(ISBLANK(INDIRECT(MID(_xlfn.FORMULATEXT(C682),2,LEN(_xlfn.FORMULATEXT(C682))-1)))=TRUE,"",C682)</f>
        <v/>
      </c>
      <c r="C682" s="65">
        <f>'CDS-H'!C138</f>
        <v>0</v>
      </c>
      <c r="D682" s="17" t="s">
        <v>675</v>
      </c>
      <c r="E682" s="48">
        <v>90</v>
      </c>
      <c r="F682" s="17" t="s">
        <v>384</v>
      </c>
      <c r="G682" s="17"/>
    </row>
    <row r="683" spans="1:7" ht="17" x14ac:dyDescent="0.2">
      <c r="A683" s="44" t="s">
        <v>765</v>
      </c>
      <c r="B683" s="257" t="str" cm="1">
        <f t="array" aca="1" ref="B683" ca="1">IF(ISBLANK(INDIRECT(MID(_xlfn.FORMULATEXT(G683),2,LEN(_xlfn.FORMULATEXT(G683))-1)))=TRUE,"",C683)</f>
        <v/>
      </c>
      <c r="C683" s="260">
        <f>ROUND(TRUNC(G683*100, 1), 1)</f>
        <v>0</v>
      </c>
      <c r="D683" s="17" t="s">
        <v>675</v>
      </c>
      <c r="E683" s="48">
        <v>91</v>
      </c>
      <c r="F683" s="17" t="s">
        <v>381</v>
      </c>
      <c r="G683" s="183">
        <f>'CDS-H'!D138</f>
        <v>0</v>
      </c>
    </row>
    <row r="684" spans="1:7" ht="17" x14ac:dyDescent="0.2">
      <c r="A684" s="44" t="s">
        <v>766</v>
      </c>
      <c r="B684" s="257" t="str" cm="1">
        <f t="array" aca="1" ref="B684" ca="1">IF(ISBLANK(INDIRECT(MID(_xlfn.FORMULATEXT(C684),2,LEN(_xlfn.FORMULATEXT(C684))-1)))=TRUE,"",C684)</f>
        <v/>
      </c>
      <c r="C684" s="266">
        <f>'CDS-H'!E138</f>
        <v>0</v>
      </c>
      <c r="D684" s="17" t="s">
        <v>675</v>
      </c>
      <c r="E684" s="48">
        <v>92</v>
      </c>
      <c r="F684" s="17" t="s">
        <v>492</v>
      </c>
      <c r="G684" s="17"/>
    </row>
    <row r="685" spans="1:7" ht="68" x14ac:dyDescent="0.2">
      <c r="A685" s="44" t="s">
        <v>767</v>
      </c>
      <c r="B685" s="257" t="str" cm="1">
        <f t="array" aca="1" ref="B685" ca="1">IF(ISBLANK(INDIRECT(MID(_xlfn.FORMULATEXT(C685),2,LEN(_xlfn.FORMULATEXT(C685))-1)))=TRUE,"",C685)</f>
        <v>Institutional need-based grant or scholarship aid is available.|Institutional non-need-based grant or scholarship aid is available.|Institutional grant and scholarship aid is not available.|</v>
      </c>
      <c r="C685" s="65" t="str">
        <f>_xlfn.CONCAT('multi select'!AI2:AI4)</f>
        <v>Institutional need-based grant or scholarship aid is available.|Institutional non-need-based grant or scholarship aid is available.|Institutional grant and scholarship aid is not available.|</v>
      </c>
      <c r="D685" s="17" t="s">
        <v>675</v>
      </c>
      <c r="E685" s="48">
        <v>93</v>
      </c>
      <c r="F685" s="17" t="s">
        <v>539</v>
      </c>
      <c r="G685" s="17"/>
    </row>
    <row r="686" spans="1:7" x14ac:dyDescent="0.2">
      <c r="A686" s="44" t="s">
        <v>768</v>
      </c>
      <c r="B686" s="257" cm="1">
        <f t="array" aca="1" ref="B686" ca="1">IF(ISBLANK(INDIRECT(MID(_xlfn.FORMULATEXT(C686),2,LEN(_xlfn.FORMULATEXT(C686))-1)))=TRUE,"",C686)</f>
        <v>61</v>
      </c>
      <c r="C686" s="65">
        <f>'CDS-H'!D153</f>
        <v>61</v>
      </c>
      <c r="D686" s="17" t="s">
        <v>675</v>
      </c>
      <c r="E686" s="48">
        <v>94</v>
      </c>
      <c r="F686" s="17" t="s">
        <v>384</v>
      </c>
      <c r="G686" s="17"/>
    </row>
    <row r="687" spans="1:7" x14ac:dyDescent="0.2">
      <c r="A687" s="44" t="s">
        <v>769</v>
      </c>
      <c r="B687" s="257" cm="1">
        <f t="array" aca="1" ref="B687" ca="1">IF(ISBLANK(INDIRECT(MID(_xlfn.FORMULATEXT(C687),2,LEN(_xlfn.FORMULATEXT(C687))-1)))=TRUE,"",C687)</f>
        <v>43597.59</v>
      </c>
      <c r="C687" s="266">
        <f>'CDS-H'!D155</f>
        <v>43597.59</v>
      </c>
      <c r="D687" s="17" t="s">
        <v>675</v>
      </c>
      <c r="E687" s="48">
        <v>95</v>
      </c>
      <c r="F687" s="17" t="s">
        <v>492</v>
      </c>
      <c r="G687" s="17"/>
    </row>
    <row r="688" spans="1:7" x14ac:dyDescent="0.2">
      <c r="A688" s="44" t="s">
        <v>770</v>
      </c>
      <c r="B688" s="257" cm="1">
        <f t="array" aca="1" ref="B688" ca="1">IF(ISBLANK(INDIRECT(MID(_xlfn.FORMULATEXT(C688),2,LEN(_xlfn.FORMULATEXT(C688))-1)))=TRUE,"",C688)</f>
        <v>2572258</v>
      </c>
      <c r="C688" s="266">
        <f>'CDS-H'!D157</f>
        <v>2572258</v>
      </c>
      <c r="D688" s="17" t="s">
        <v>675</v>
      </c>
      <c r="E688" s="48">
        <v>96</v>
      </c>
      <c r="F688" s="17" t="s">
        <v>492</v>
      </c>
      <c r="G688" s="17"/>
    </row>
    <row r="689" spans="1:9" ht="17" x14ac:dyDescent="0.2">
      <c r="A689" s="44" t="s">
        <v>771</v>
      </c>
      <c r="B689" s="257" t="str" cm="1">
        <f t="array" aca="1" ref="B689" ca="1">IF(ISBLANK(INDIRECT(MID(_xlfn.FORMULATEXT(C689),2,LEN(_xlfn.FORMULATEXT(C689))-1)))=TRUE,"",C689)</f>
        <v>Other|</v>
      </c>
      <c r="C689" s="65" t="str">
        <f>_xlfn.CONCAT('multi select'!AK2:AK4)</f>
        <v>Other|</v>
      </c>
      <c r="D689" s="17" t="s">
        <v>675</v>
      </c>
      <c r="E689" s="48">
        <v>97</v>
      </c>
      <c r="F689" s="17" t="s">
        <v>539</v>
      </c>
      <c r="G689" s="17"/>
    </row>
    <row r="690" spans="1:9" ht="34" x14ac:dyDescent="0.2">
      <c r="A690" s="44" t="s">
        <v>772</v>
      </c>
      <c r="B690" s="257" t="str" cm="1">
        <f t="array" aca="1" ref="B690" ca="1">IF(ISBLANK(INDIRECT(MID(_xlfn.FORMULATEXT(C690),2,LEN(_xlfn.FORMULATEXT(C690))-1)))=TRUE,"",C690)</f>
        <v xml:space="preserve">International Student’s Financial Aid Application, International Student’s Certification of Finances		</v>
      </c>
      <c r="C690" s="75" t="str">
        <f>'CDS-H'!D166</f>
        <v xml:space="preserve">International Student’s Financial Aid Application, International Student’s Certification of Finances		</v>
      </c>
      <c r="D690" s="17" t="s">
        <v>675</v>
      </c>
      <c r="E690" s="48">
        <v>98</v>
      </c>
      <c r="F690" s="17" t="s">
        <v>773</v>
      </c>
      <c r="G690" s="17"/>
    </row>
    <row r="691" spans="1:9" ht="17" x14ac:dyDescent="0.2">
      <c r="A691" s="44" t="s">
        <v>774</v>
      </c>
      <c r="B691" s="257" t="str" cm="1">
        <f t="array" aca="1" ref="B691" ca="1">IF(ISBLANK(INDIRECT(MID(_xlfn.FORMULATEXT(C691),2,LEN(_xlfn.FORMULATEXT(C691))-1)))=TRUE,"",C691)</f>
        <v>FAFSA|</v>
      </c>
      <c r="C691" s="65" t="str">
        <f>_xlfn.CONCAT('multi select'!AM2:AM7)</f>
        <v>FAFSA|</v>
      </c>
      <c r="D691" s="17" t="s">
        <v>675</v>
      </c>
      <c r="E691" s="48">
        <v>99</v>
      </c>
      <c r="F691" s="17" t="s">
        <v>539</v>
      </c>
      <c r="G691" s="17"/>
    </row>
    <row r="692" spans="1:9" ht="17" x14ac:dyDescent="0.2">
      <c r="A692" s="44" t="s">
        <v>2321</v>
      </c>
      <c r="B692" s="257" t="str" cm="1">
        <f t="array" aca="1" ref="B692" ca="1">IF(ISBLANK(INDIRECT(MID(_xlfn.FORMULATEXT(C692),2,LEN(_xlfn.FORMULATEXT(C692))-1)))=TRUE,"",C692)</f>
        <v/>
      </c>
      <c r="C692" s="75">
        <f>'CDS-H'!C177</f>
        <v>0</v>
      </c>
      <c r="D692" s="17" t="s">
        <v>675</v>
      </c>
      <c r="E692" s="48">
        <v>100</v>
      </c>
      <c r="F692" s="17" t="s">
        <v>773</v>
      </c>
      <c r="G692" s="17"/>
    </row>
    <row r="693" spans="1:9" ht="17" x14ac:dyDescent="0.2">
      <c r="A693" s="44" t="s">
        <v>775</v>
      </c>
      <c r="B693" s="257" t="str" cm="1">
        <f t="array" aca="1" ref="B693" ca="1">IF(ISBLANK(INDIRECT(MID(_xlfn.FORMULATEXT(C693),2,LEN(_xlfn.FORMULATEXT(C693))-1)))=TRUE,"",C693)</f>
        <v>No</v>
      </c>
      <c r="C693" s="65" t="str">
        <f>'CDS-H'!D182</f>
        <v>No</v>
      </c>
      <c r="D693" s="17" t="s">
        <v>675</v>
      </c>
      <c r="E693" s="48">
        <v>101</v>
      </c>
      <c r="F693" s="17" t="s">
        <v>21</v>
      </c>
      <c r="G693" s="17"/>
    </row>
    <row r="694" spans="1:9" ht="17" x14ac:dyDescent="0.2">
      <c r="A694" s="44" t="s">
        <v>776</v>
      </c>
      <c r="B694" s="257" t="str" cm="1">
        <f t="array" aca="1" ref="B694" ca="1">IF(ISBLANK(INDIRECT(MID(_xlfn.FORMULATEXT(C694),2,LEN(_xlfn.FORMULATEXT(C694))-1)))=TRUE,"",C694)</f>
        <v>02/15</v>
      </c>
      <c r="C694" s="155" t="str" cm="1">
        <f t="array" aca="1" ref="C694" ca="1">IF(AND(ISNUMBER(CELL("contents",G694)),(G694&gt;0)),TEXT(G694,"MM/DD"),"")</f>
        <v>02/15</v>
      </c>
      <c r="D694" s="17" t="s">
        <v>675</v>
      </c>
      <c r="E694" s="48">
        <v>102</v>
      </c>
      <c r="F694" s="17" t="s">
        <v>375</v>
      </c>
      <c r="G694" s="156">
        <f>'CDS-H'!C185</f>
        <v>45337</v>
      </c>
      <c r="I694" t="s">
        <v>777</v>
      </c>
    </row>
    <row r="695" spans="1:9" ht="17" x14ac:dyDescent="0.2">
      <c r="A695" s="44" t="s">
        <v>778</v>
      </c>
      <c r="B695" s="257" t="str" cm="1">
        <f t="array" aca="1" ref="B695" ca="1">IF(ISBLANK(INDIRECT(MID(_xlfn.FORMULATEXT(C695),2,LEN(_xlfn.FORMULATEXT(C695))-1)))=TRUE,"",C695)</f>
        <v/>
      </c>
      <c r="C695" s="155" t="str" cm="1">
        <f t="array" aca="1" ref="C695" ca="1">IF(AND(ISNUMBER(CELL("contents",G695)),(G695&gt;0)),TEXT(G695,"MM/DD"),"")</f>
        <v/>
      </c>
      <c r="D695" s="17" t="s">
        <v>675</v>
      </c>
      <c r="E695" s="48">
        <v>103</v>
      </c>
      <c r="F695" s="17" t="s">
        <v>375</v>
      </c>
      <c r="G695" s="156">
        <f>'CDS-H'!C187</f>
        <v>0</v>
      </c>
      <c r="I695" t="s">
        <v>777</v>
      </c>
    </row>
    <row r="696" spans="1:9" ht="17" x14ac:dyDescent="0.2">
      <c r="A696" s="44" t="s">
        <v>779</v>
      </c>
      <c r="B696" s="257" t="str" cm="1">
        <f t="array" aca="1" ref="B696" ca="1">IF(ISBLANK(INDIRECT(MID(_xlfn.FORMULATEXT(C696),2,LEN(_xlfn.FORMULATEXT(C696))-1)))=TRUE,"",C696)</f>
        <v>11/15</v>
      </c>
      <c r="C696" s="155" t="str" cm="1">
        <f t="array" aca="1" ref="C696" ca="1">IF(AND(ISNUMBER(CELL("contents",G696)),(G696&gt;0)),TEXT(G696,"MM/DD"),"")</f>
        <v>11/15</v>
      </c>
      <c r="D696" s="17" t="s">
        <v>675</v>
      </c>
      <c r="E696" s="48">
        <v>104</v>
      </c>
      <c r="F696" s="17" t="s">
        <v>375</v>
      </c>
      <c r="G696" s="156">
        <f>'CDS-H'!C192</f>
        <v>45611</v>
      </c>
      <c r="I696" t="s">
        <v>777</v>
      </c>
    </row>
    <row r="697" spans="1:9" ht="17" x14ac:dyDescent="0.2">
      <c r="A697" s="44" t="s">
        <v>780</v>
      </c>
      <c r="B697" s="257" t="str" cm="1">
        <f t="array" aca="1" ref="B697" ca="1">IF(ISBLANK(INDIRECT(MID(_xlfn.FORMULATEXT(C697),2,LEN(_xlfn.FORMULATEXT(C697))-1)))=TRUE,"",C697)</f>
        <v/>
      </c>
      <c r="C697" s="155" t="str" cm="1">
        <f t="array" aca="1" ref="C697" ca="1">IF(AND(ISNUMBER(CELL("contents",G697)),(G697&gt;0)),TEXT(G697,"MM/DD"),"")</f>
        <v/>
      </c>
      <c r="D697" s="17" t="s">
        <v>675</v>
      </c>
      <c r="E697" s="48">
        <v>105</v>
      </c>
      <c r="F697" s="17" t="s">
        <v>375</v>
      </c>
      <c r="G697" s="156">
        <f>'CDS-H'!C194</f>
        <v>0</v>
      </c>
      <c r="I697" t="s">
        <v>777</v>
      </c>
    </row>
    <row r="698" spans="1:9" ht="17" x14ac:dyDescent="0.2">
      <c r="A698" s="44" t="s">
        <v>781</v>
      </c>
      <c r="B698" s="257" t="str" cm="1">
        <f t="array" aca="1" ref="B698" ca="1">IF(ISBLANK(INDIRECT(MID(_xlfn.FORMULATEXT(C698),2,LEN(_xlfn.FORMULATEXT(C698))-1)))=TRUE,"",C698)</f>
        <v>05/01</v>
      </c>
      <c r="C698" s="155" t="str" cm="1">
        <f t="array" aca="1" ref="C698" ca="1">IF(AND(ISNUMBER(CELL("contents",G698)),(G698&gt;0)),TEXT(G698,"MM/DD"),"")</f>
        <v>05/01</v>
      </c>
      <c r="D698" s="17" t="s">
        <v>675</v>
      </c>
      <c r="E698" s="48">
        <v>106</v>
      </c>
      <c r="F698" s="17" t="s">
        <v>375</v>
      </c>
      <c r="G698" s="156">
        <f>'CDS-H'!C198</f>
        <v>45413</v>
      </c>
      <c r="I698" t="s">
        <v>777</v>
      </c>
    </row>
    <row r="699" spans="1:9" x14ac:dyDescent="0.2">
      <c r="A699" s="44" t="s">
        <v>782</v>
      </c>
      <c r="B699" s="257" cm="1">
        <f t="array" aca="1" ref="B699" ca="1">IF(ISBLANK(INDIRECT(MID(_xlfn.FORMULATEXT(C699),2,LEN(_xlfn.FORMULATEXT(C699))-1)))=TRUE,"",C699)</f>
        <v>4</v>
      </c>
      <c r="C699" s="65">
        <f>'CDS-H'!C199</f>
        <v>4</v>
      </c>
      <c r="D699" s="17" t="s">
        <v>675</v>
      </c>
      <c r="E699" s="48">
        <v>107</v>
      </c>
      <c r="F699" s="17" t="s">
        <v>384</v>
      </c>
      <c r="G699" s="17"/>
    </row>
    <row r="700" spans="1:9" ht="51" x14ac:dyDescent="0.2">
      <c r="A700" s="44" t="s">
        <v>783</v>
      </c>
      <c r="B700" s="257" t="str" cm="1">
        <f t="array" aca="1" ref="B700" ca="1">IF(ISBLANK(INDIRECT(MID(_xlfn.FORMULATEXT(C700),2,LEN(_xlfn.FORMULATEXT(C700))-1)))=TRUE,"",C700)</f>
        <v>Direct Subsidized Stafford Loans | Direct Unsubsidized Stafford Loans | Direct PLUS Loans | College/university loans from institutional funds | Other |</v>
      </c>
      <c r="C700" s="65" t="str">
        <f>_xlfn.CONCAT('multi select'!AO2:AO9)</f>
        <v>Direct Subsidized Stafford Loans | Direct Unsubsidized Stafford Loans | Direct PLUS Loans | College/university loans from institutional funds | Other |</v>
      </c>
      <c r="D700" s="17" t="s">
        <v>675</v>
      </c>
      <c r="E700" s="48">
        <v>108</v>
      </c>
      <c r="F700" s="17" t="s">
        <v>539</v>
      </c>
      <c r="G700" s="17"/>
    </row>
    <row r="701" spans="1:9" ht="17" x14ac:dyDescent="0.2">
      <c r="A701" s="44" t="s">
        <v>784</v>
      </c>
      <c r="B701" s="257" t="str" cm="1">
        <f t="array" aca="1" ref="B701" ca="1">IF(ISBLANK(INDIRECT(MID(_xlfn.FORMULATEXT(C701),2,LEN(_xlfn.FORMULATEXT(C701))-1)))=TRUE,"",C701)</f>
        <v>Private loans from commercial lenders</v>
      </c>
      <c r="C701" s="75" t="str">
        <f>'CDS-H'!E209</f>
        <v>Private loans from commercial lenders</v>
      </c>
      <c r="D701" s="17" t="s">
        <v>675</v>
      </c>
      <c r="E701" s="48">
        <v>109</v>
      </c>
      <c r="F701" s="17" t="s">
        <v>773</v>
      </c>
      <c r="G701" s="17"/>
    </row>
    <row r="702" spans="1:9" ht="51" x14ac:dyDescent="0.2">
      <c r="A702" s="44" t="s">
        <v>785</v>
      </c>
      <c r="B702" s="257" t="str" cm="1">
        <f t="array" aca="1" ref="B702" ca="1">IF(ISBLANK(INDIRECT(MID(_xlfn.FORMULATEXT(C702),2,LEN(_xlfn.FORMULATEXT(C702))-1)))=TRUE,"",C702)</f>
        <v>Federal Pell| SEOG| State scholarships/grants| Private Scholarships| College/university scholarship or grant aid from institutional funds| Other</v>
      </c>
      <c r="C702" s="65" t="str">
        <f>_xlfn.CONCAT('multi select'!AQ2:AQ9)</f>
        <v>Federal Pell| SEOG| State scholarships/grants| Private Scholarships| College/university scholarship or grant aid from institutional funds| Other</v>
      </c>
      <c r="D702" s="17" t="s">
        <v>675</v>
      </c>
      <c r="E702" s="48">
        <v>110</v>
      </c>
      <c r="F702" s="17" t="s">
        <v>539</v>
      </c>
      <c r="G702" s="17"/>
    </row>
    <row r="703" spans="1:9" ht="17" x14ac:dyDescent="0.2">
      <c r="A703" s="44" t="s">
        <v>786</v>
      </c>
      <c r="B703" s="257" t="str" cm="1">
        <f t="array" aca="1" ref="B703" ca="1">IF(ISBLANK(INDIRECT(MID(_xlfn.FORMULATEXT(C703),2,LEN(_xlfn.FORMULATEXT(C703))-1)))=TRUE,"",C703)</f>
        <v>Veteran's Educational Benefits, Yellow Ribbon Program</v>
      </c>
      <c r="C703" s="75" t="str">
        <f>'CDS-H'!D220</f>
        <v>Veteran's Educational Benefits, Yellow Ribbon Program</v>
      </c>
      <c r="D703" s="17" t="s">
        <v>675</v>
      </c>
      <c r="E703" s="48">
        <v>111</v>
      </c>
      <c r="F703" s="17" t="s">
        <v>773</v>
      </c>
      <c r="G703" s="17"/>
    </row>
    <row r="704" spans="1:9" ht="17" x14ac:dyDescent="0.2">
      <c r="A704" s="44" t="s">
        <v>2297</v>
      </c>
      <c r="B704" s="257" t="str" cm="1">
        <f t="array" aca="1" ref="B704" ca="1">IF(ISBLANK(INDIRECT(MID(_xlfn.FORMULATEXT(C704),2,LEN(_xlfn.FORMULATEXT(C704))-1)))=TRUE,"",C704)</f>
        <v xml:space="preserve">Academics| Art| Leadership| Music/Drama| </v>
      </c>
      <c r="C704" s="65" t="str">
        <f>_xlfn.CONCAT('multi select'!AS2:AS12)</f>
        <v xml:space="preserve">Academics| Art| Leadership| Music/Drama| </v>
      </c>
      <c r="D704" s="17" t="s">
        <v>675</v>
      </c>
      <c r="E704" s="48">
        <v>112</v>
      </c>
      <c r="F704" s="17" t="s">
        <v>539</v>
      </c>
      <c r="G704" s="17"/>
    </row>
    <row r="705" spans="1:7" ht="17" x14ac:dyDescent="0.2">
      <c r="A705" s="44" t="s">
        <v>2325</v>
      </c>
      <c r="B705" s="257" t="str" cm="1">
        <f t="array" aca="1" ref="B705" ca="1">IF(ISBLANK(INDIRECT(MID(_xlfn.FORMULATEXT(C705),2,LEN(_xlfn.FORMULATEXT(C705))-1)))=TRUE,"",C705)</f>
        <v>Academics| State/District residency</v>
      </c>
      <c r="C705" s="65" t="str">
        <f>_xlfn.CONCAT('multi select'!AU2:AU12)</f>
        <v>Academics| State/District residency</v>
      </c>
      <c r="D705" s="17" t="s">
        <v>675</v>
      </c>
      <c r="E705" s="48">
        <v>113</v>
      </c>
      <c r="F705" s="17" t="s">
        <v>539</v>
      </c>
      <c r="G705" s="17"/>
    </row>
    <row r="706" spans="1:7" ht="17" x14ac:dyDescent="0.2">
      <c r="A706" s="44" t="s">
        <v>787</v>
      </c>
      <c r="B706" s="257" t="str" cm="1">
        <f t="array" aca="1" ref="B706" ca="1">IF(ISBLANK(INDIRECT(MID(_xlfn.FORMULATEXT(C706),2,LEN(_xlfn.FORMULATEXT(C706))-1)))=TRUE,"",C706)</f>
        <v/>
      </c>
      <c r="C706" s="75">
        <f>'CDS-H'!B251</f>
        <v>0</v>
      </c>
      <c r="D706" s="17" t="s">
        <v>675</v>
      </c>
      <c r="E706" s="48">
        <v>114</v>
      </c>
      <c r="F706" s="17" t="s">
        <v>34</v>
      </c>
      <c r="G706" s="17"/>
    </row>
    <row r="707" spans="1:7" x14ac:dyDescent="0.2">
      <c r="A707" s="44" t="s">
        <v>788</v>
      </c>
      <c r="B707" s="257" cm="1">
        <f t="array" aca="1" ref="B707" ca="1">IF(ISBLANK(INDIRECT(MID(_xlfn.FORMULATEXT(C707),2,LEN(_xlfn.FORMULATEXT(C707))-1)))=TRUE,"",C707)</f>
        <v>135</v>
      </c>
      <c r="C707" s="65">
        <f>'CDS-I'!C15</f>
        <v>135</v>
      </c>
      <c r="D707" s="17" t="s">
        <v>789</v>
      </c>
      <c r="E707" s="48">
        <v>1</v>
      </c>
      <c r="F707" s="17" t="s">
        <v>384</v>
      </c>
      <c r="G707" s="17"/>
    </row>
    <row r="708" spans="1:7" x14ac:dyDescent="0.2">
      <c r="A708" s="44" t="s">
        <v>790</v>
      </c>
      <c r="B708" s="257" cm="1">
        <f t="array" aca="1" ref="B708" ca="1">IF(ISBLANK(INDIRECT(MID(_xlfn.FORMULATEXT(C708),2,LEN(_xlfn.FORMULATEXT(C708))-1)))=TRUE,"",C708)</f>
        <v>41</v>
      </c>
      <c r="C708" s="65">
        <f>'CDS-I'!D15</f>
        <v>41</v>
      </c>
      <c r="D708" s="17" t="s">
        <v>789</v>
      </c>
      <c r="E708" s="48">
        <v>2</v>
      </c>
      <c r="F708" s="17" t="s">
        <v>384</v>
      </c>
      <c r="G708" s="17"/>
    </row>
    <row r="709" spans="1:7" x14ac:dyDescent="0.2">
      <c r="A709" s="44" t="s">
        <v>791</v>
      </c>
      <c r="B709" s="257" cm="1">
        <f t="array" aca="1" ref="B709" ca="1">IF(ISBLANK(INDIRECT(MID(_xlfn.FORMULATEXT(C709),2,LEN(_xlfn.FORMULATEXT(C709))-1)))=TRUE,"",C709)</f>
        <v>24</v>
      </c>
      <c r="C709" s="65">
        <f>'CDS-I'!C16</f>
        <v>24</v>
      </c>
      <c r="D709" s="17" t="s">
        <v>789</v>
      </c>
      <c r="E709" s="48">
        <v>3</v>
      </c>
      <c r="F709" s="17" t="s">
        <v>384</v>
      </c>
      <c r="G709" s="17"/>
    </row>
    <row r="710" spans="1:7" x14ac:dyDescent="0.2">
      <c r="A710" s="44" t="s">
        <v>792</v>
      </c>
      <c r="B710" s="257" cm="1">
        <f t="array" aca="1" ref="B710" ca="1">IF(ISBLANK(INDIRECT(MID(_xlfn.FORMULATEXT(C710),2,LEN(_xlfn.FORMULATEXT(C710))-1)))=TRUE,"",C710)</f>
        <v>3</v>
      </c>
      <c r="C710" s="65">
        <f>'CDS-I'!D16</f>
        <v>3</v>
      </c>
      <c r="D710" s="17" t="s">
        <v>789</v>
      </c>
      <c r="E710" s="48">
        <v>4</v>
      </c>
      <c r="F710" s="17" t="s">
        <v>384</v>
      </c>
      <c r="G710" s="17"/>
    </row>
    <row r="711" spans="1:7" x14ac:dyDescent="0.2">
      <c r="A711" s="44" t="s">
        <v>793</v>
      </c>
      <c r="B711" s="257" cm="1">
        <f t="array" aca="1" ref="B711" ca="1">IF(ISBLANK(INDIRECT(MID(_xlfn.FORMULATEXT(C711),2,LEN(_xlfn.FORMULATEXT(C711))-1)))=TRUE,"",C711)</f>
        <v>72</v>
      </c>
      <c r="C711" s="65">
        <f>'CDS-I'!C17</f>
        <v>72</v>
      </c>
      <c r="D711" s="17" t="s">
        <v>789</v>
      </c>
      <c r="E711" s="48">
        <v>5</v>
      </c>
      <c r="F711" s="17" t="s">
        <v>384</v>
      </c>
      <c r="G711" s="17"/>
    </row>
    <row r="712" spans="1:7" x14ac:dyDescent="0.2">
      <c r="A712" s="64" t="s">
        <v>794</v>
      </c>
      <c r="B712" s="257" cm="1">
        <f t="array" aca="1" ref="B712" ca="1">IF(ISBLANK(INDIRECT(MID(_xlfn.FORMULATEXT(C712),2,LEN(_xlfn.FORMULATEXT(C712))-1)))=TRUE,"",C712)</f>
        <v>20</v>
      </c>
      <c r="C712" s="65">
        <f>'CDS-I'!D17</f>
        <v>20</v>
      </c>
      <c r="D712" s="17" t="s">
        <v>789</v>
      </c>
      <c r="E712" s="48">
        <v>6</v>
      </c>
      <c r="F712" s="17" t="s">
        <v>384</v>
      </c>
      <c r="G712" s="17"/>
    </row>
    <row r="713" spans="1:7" x14ac:dyDescent="0.2">
      <c r="A713" s="64" t="s">
        <v>795</v>
      </c>
      <c r="B713" s="257" cm="1">
        <f t="array" aca="1" ref="B713" ca="1">IF(ISBLANK(INDIRECT(MID(_xlfn.FORMULATEXT(C713),2,LEN(_xlfn.FORMULATEXT(C713))-1)))=TRUE,"",C713)</f>
        <v>63</v>
      </c>
      <c r="C713" s="65">
        <f>'CDS-I'!C18</f>
        <v>63</v>
      </c>
      <c r="D713" s="17" t="s">
        <v>789</v>
      </c>
      <c r="E713" s="48">
        <v>7</v>
      </c>
      <c r="F713" s="17" t="s">
        <v>384</v>
      </c>
      <c r="G713" s="17"/>
    </row>
    <row r="714" spans="1:7" x14ac:dyDescent="0.2">
      <c r="A714" s="64" t="s">
        <v>796</v>
      </c>
      <c r="B714" s="257" cm="1">
        <f t="array" aca="1" ref="B714" ca="1">IF(ISBLANK(INDIRECT(MID(_xlfn.FORMULATEXT(C714),2,LEN(_xlfn.FORMULATEXT(C714))-1)))=TRUE,"",C714)</f>
        <v>21</v>
      </c>
      <c r="C714" s="65">
        <f>'CDS-I'!D18</f>
        <v>21</v>
      </c>
      <c r="D714" s="17" t="s">
        <v>789</v>
      </c>
      <c r="E714" s="48">
        <v>8</v>
      </c>
      <c r="F714" s="17" t="s">
        <v>384</v>
      </c>
      <c r="G714" s="17"/>
    </row>
    <row r="715" spans="1:7" x14ac:dyDescent="0.2">
      <c r="A715" s="64" t="s">
        <v>797</v>
      </c>
      <c r="B715" s="257" cm="1">
        <f t="array" aca="1" ref="B715" ca="1">IF(ISBLANK(INDIRECT(MID(_xlfn.FORMULATEXT(C715),2,LEN(_xlfn.FORMULATEXT(C715))-1)))=TRUE,"",C715)</f>
        <v>8</v>
      </c>
      <c r="C715" s="65">
        <f>'CDS-I'!C19</f>
        <v>8</v>
      </c>
      <c r="D715" s="17" t="s">
        <v>789</v>
      </c>
      <c r="E715" s="48">
        <v>9</v>
      </c>
      <c r="F715" s="17" t="s">
        <v>384</v>
      </c>
      <c r="G715" s="17"/>
    </row>
    <row r="716" spans="1:7" x14ac:dyDescent="0.2">
      <c r="A716" s="64" t="s">
        <v>798</v>
      </c>
      <c r="B716" s="257" cm="1">
        <f t="array" aca="1" ref="B716" ca="1">IF(ISBLANK(INDIRECT(MID(_xlfn.FORMULATEXT(C716),2,LEN(_xlfn.FORMULATEXT(C716))-1)))=TRUE,"",C716)</f>
        <v>2</v>
      </c>
      <c r="C716" s="65">
        <f>'CDS-I'!D19</f>
        <v>2</v>
      </c>
      <c r="D716" s="17" t="s">
        <v>789</v>
      </c>
      <c r="E716" s="48">
        <v>10</v>
      </c>
      <c r="F716" s="17" t="s">
        <v>384</v>
      </c>
      <c r="G716" s="17"/>
    </row>
    <row r="717" spans="1:7" x14ac:dyDescent="0.2">
      <c r="A717" s="64" t="s">
        <v>799</v>
      </c>
      <c r="B717" s="257" cm="1">
        <f t="array" aca="1" ref="B717" ca="1">IF(ISBLANK(INDIRECT(MID(_xlfn.FORMULATEXT(C717),2,LEN(_xlfn.FORMULATEXT(C717))-1)))=TRUE,"",C717)</f>
        <v>117</v>
      </c>
      <c r="C717" s="65">
        <f>'CDS-I'!C20</f>
        <v>117</v>
      </c>
      <c r="D717" s="17" t="s">
        <v>789</v>
      </c>
      <c r="E717" s="48">
        <v>11</v>
      </c>
      <c r="F717" s="17" t="s">
        <v>384</v>
      </c>
      <c r="G717" s="17"/>
    </row>
    <row r="718" spans="1:7" x14ac:dyDescent="0.2">
      <c r="A718" s="64" t="s">
        <v>800</v>
      </c>
      <c r="B718" s="257" cm="1">
        <f t="array" aca="1" ref="B718" ca="1">IF(ISBLANK(INDIRECT(MID(_xlfn.FORMULATEXT(C718),2,LEN(_xlfn.FORMULATEXT(C718))-1)))=TRUE,"",C718)</f>
        <v>16</v>
      </c>
      <c r="C718" s="65">
        <f>'CDS-I'!D20</f>
        <v>16</v>
      </c>
      <c r="D718" s="17" t="s">
        <v>789</v>
      </c>
      <c r="E718" s="48">
        <v>12</v>
      </c>
      <c r="F718" s="17" t="s">
        <v>384</v>
      </c>
      <c r="G718" s="17"/>
    </row>
    <row r="719" spans="1:7" x14ac:dyDescent="0.2">
      <c r="A719" s="64" t="s">
        <v>801</v>
      </c>
      <c r="B719" s="257" cm="1">
        <f t="array" aca="1" ref="B719" ca="1">IF(ISBLANK(INDIRECT(MID(_xlfn.FORMULATEXT(C719),2,LEN(_xlfn.FORMULATEXT(C719))-1)))=TRUE,"",C719)</f>
        <v>16</v>
      </c>
      <c r="C719" s="65">
        <f>'CDS-I'!C21</f>
        <v>16</v>
      </c>
      <c r="D719" s="17" t="s">
        <v>789</v>
      </c>
      <c r="E719" s="48">
        <v>13</v>
      </c>
      <c r="F719" s="17" t="s">
        <v>384</v>
      </c>
      <c r="G719" s="17"/>
    </row>
    <row r="720" spans="1:7" x14ac:dyDescent="0.2">
      <c r="A720" s="64" t="s">
        <v>802</v>
      </c>
      <c r="B720" s="257" cm="1">
        <f t="array" aca="1" ref="B720" ca="1">IF(ISBLANK(INDIRECT(MID(_xlfn.FORMULATEXT(C720),2,LEN(_xlfn.FORMULATEXT(C720))-1)))=TRUE,"",C720)</f>
        <v>4</v>
      </c>
      <c r="C720" s="65">
        <f>'CDS-I'!D21</f>
        <v>4</v>
      </c>
      <c r="D720" s="17" t="s">
        <v>789</v>
      </c>
      <c r="E720" s="48">
        <v>14</v>
      </c>
      <c r="F720" s="17" t="s">
        <v>384</v>
      </c>
      <c r="G720" s="17"/>
    </row>
    <row r="721" spans="1:7" x14ac:dyDescent="0.2">
      <c r="A721" s="64" t="s">
        <v>803</v>
      </c>
      <c r="B721" s="257" cm="1">
        <f t="array" aca="1" ref="B721" ca="1">IF(ISBLANK(INDIRECT(MID(_xlfn.FORMULATEXT(C721),2,LEN(_xlfn.FORMULATEXT(C721))-1)))=TRUE,"",C721)</f>
        <v>1</v>
      </c>
      <c r="C721" s="65">
        <f>'CDS-I'!C22</f>
        <v>1</v>
      </c>
      <c r="D721" s="17" t="s">
        <v>789</v>
      </c>
      <c r="E721" s="48">
        <v>15</v>
      </c>
      <c r="F721" s="17" t="s">
        <v>384</v>
      </c>
      <c r="G721" s="17"/>
    </row>
    <row r="722" spans="1:7" x14ac:dyDescent="0.2">
      <c r="A722" s="64" t="s">
        <v>804</v>
      </c>
      <c r="B722" s="257" cm="1">
        <f t="array" aca="1" ref="B722" ca="1">IF(ISBLANK(INDIRECT(MID(_xlfn.FORMULATEXT(C722),2,LEN(_xlfn.FORMULATEXT(C722))-1)))=TRUE,"",C722)</f>
        <v>15</v>
      </c>
      <c r="C722" s="65">
        <f>'CDS-I'!D22</f>
        <v>15</v>
      </c>
      <c r="D722" s="17" t="s">
        <v>789</v>
      </c>
      <c r="E722" s="48">
        <v>16</v>
      </c>
      <c r="F722" s="17" t="s">
        <v>384</v>
      </c>
      <c r="G722" s="17"/>
    </row>
    <row r="723" spans="1:7" x14ac:dyDescent="0.2">
      <c r="A723" s="64" t="s">
        <v>805</v>
      </c>
      <c r="B723" s="257" cm="1">
        <f t="array" aca="1" ref="B723" ca="1">IF(ISBLANK(INDIRECT(MID(_xlfn.FORMULATEXT(C723),2,LEN(_xlfn.FORMULATEXT(C723))-1)))=TRUE,"",C723)</f>
        <v>0</v>
      </c>
      <c r="C723" s="65">
        <f>'CDS-I'!C23</f>
        <v>0</v>
      </c>
      <c r="D723" s="17" t="s">
        <v>789</v>
      </c>
      <c r="E723" s="48">
        <v>17</v>
      </c>
      <c r="F723" s="17" t="s">
        <v>384</v>
      </c>
      <c r="G723" s="17"/>
    </row>
    <row r="724" spans="1:7" x14ac:dyDescent="0.2">
      <c r="A724" s="64" t="s">
        <v>806</v>
      </c>
      <c r="B724" s="257" cm="1">
        <f t="array" aca="1" ref="B724" ca="1">IF(ISBLANK(INDIRECT(MID(_xlfn.FORMULATEXT(C724),2,LEN(_xlfn.FORMULATEXT(C724))-1)))=TRUE,"",C724)</f>
        <v>3</v>
      </c>
      <c r="C724" s="65">
        <f>'CDS-I'!D23</f>
        <v>3</v>
      </c>
      <c r="D724" s="17" t="s">
        <v>789</v>
      </c>
      <c r="E724" s="48">
        <v>18</v>
      </c>
      <c r="F724" s="17" t="s">
        <v>384</v>
      </c>
      <c r="G724" s="17"/>
    </row>
    <row r="725" spans="1:7" ht="17" x14ac:dyDescent="0.2">
      <c r="A725" s="64" t="s">
        <v>807</v>
      </c>
      <c r="B725" s="257" t="str" cm="1">
        <f t="array" aca="1" ref="B725" ca="1">IF(ISBLANK(INDIRECT(MID(_xlfn.FORMULATEXT(C725),2,LEN(_xlfn.FORMULATEXT(C725))-1)))=TRUE,"",C725)</f>
        <v/>
      </c>
      <c r="C725" s="65">
        <f>'CDS-I'!C24</f>
        <v>0</v>
      </c>
      <c r="D725" s="17" t="s">
        <v>789</v>
      </c>
      <c r="E725" s="48">
        <v>19</v>
      </c>
      <c r="F725" s="17" t="s">
        <v>384</v>
      </c>
      <c r="G725" s="17"/>
    </row>
    <row r="726" spans="1:7" ht="17" x14ac:dyDescent="0.2">
      <c r="A726" s="64" t="s">
        <v>808</v>
      </c>
      <c r="B726" s="257" t="str" cm="1">
        <f t="array" aca="1" ref="B726" ca="1">IF(ISBLANK(INDIRECT(MID(_xlfn.FORMULATEXT(C726),2,LEN(_xlfn.FORMULATEXT(C726))-1)))=TRUE,"",C726)</f>
        <v/>
      </c>
      <c r="C726" s="65">
        <f>'CDS-I'!D24</f>
        <v>0</v>
      </c>
      <c r="D726" s="17" t="s">
        <v>789</v>
      </c>
      <c r="E726" s="48">
        <v>20</v>
      </c>
      <c r="F726" s="17" t="s">
        <v>384</v>
      </c>
      <c r="G726" s="17"/>
    </row>
    <row r="727" spans="1:7" x14ac:dyDescent="0.2">
      <c r="A727" s="44" t="s">
        <v>809</v>
      </c>
      <c r="B727" s="257" cm="1">
        <f t="array" aca="1" ref="B727" ca="1">IF(ISBLANK(INDIRECT(MID(_xlfn.FORMULATEXT(C727),2,LEN(_xlfn.FORMULATEXT(C727))-1)))=TRUE,"",C727)</f>
        <v>8</v>
      </c>
      <c r="C727" s="65">
        <f>'CDS-I'!C30</f>
        <v>8</v>
      </c>
      <c r="D727" s="17" t="s">
        <v>789</v>
      </c>
      <c r="E727" s="48">
        <v>21</v>
      </c>
      <c r="F727" s="17" t="s">
        <v>384</v>
      </c>
      <c r="G727" s="17"/>
    </row>
    <row r="728" spans="1:7" x14ac:dyDescent="0.2">
      <c r="A728" s="44" t="s">
        <v>810</v>
      </c>
      <c r="B728" s="257" cm="1">
        <f t="array" aca="1" ref="B728" ca="1">IF(ISBLANK(INDIRECT(MID(_xlfn.FORMULATEXT(C728),2,LEN(_xlfn.FORMULATEXT(C728))-1)))=TRUE,"",C728)</f>
        <v>1181</v>
      </c>
      <c r="C728" s="65">
        <f>'CDS-I'!C32</f>
        <v>1181</v>
      </c>
      <c r="D728" s="17" t="s">
        <v>789</v>
      </c>
      <c r="E728" s="48">
        <v>22</v>
      </c>
      <c r="F728" s="17" t="s">
        <v>384</v>
      </c>
      <c r="G728" s="17"/>
    </row>
    <row r="729" spans="1:7" x14ac:dyDescent="0.2">
      <c r="A729" s="44" t="s">
        <v>811</v>
      </c>
      <c r="B729" s="257" cm="1">
        <f t="array" aca="1" ref="B729" ca="1">IF(ISBLANK(INDIRECT(MID(_xlfn.FORMULATEXT(C729),2,LEN(_xlfn.FORMULATEXT(C729))-1)))=TRUE,"",C729)</f>
        <v>149</v>
      </c>
      <c r="C729" s="65">
        <f>'CDS-I'!C34</f>
        <v>149</v>
      </c>
      <c r="D729" s="17" t="s">
        <v>789</v>
      </c>
      <c r="E729" s="48">
        <v>23</v>
      </c>
      <c r="F729" s="17" t="s">
        <v>384</v>
      </c>
      <c r="G729" s="17"/>
    </row>
    <row r="730" spans="1:7" x14ac:dyDescent="0.2">
      <c r="A730" s="44" t="s">
        <v>812</v>
      </c>
      <c r="B730" s="257" cm="1">
        <f t="array" aca="1" ref="B730" ca="1">IF(ISBLANK(INDIRECT(MID(_xlfn.FORMULATEXT(C730),2,LEN(_xlfn.FORMULATEXT(C730))-1)))=TRUE,"",C730)</f>
        <v>100</v>
      </c>
      <c r="C730" s="65">
        <f>'CDS-I'!C40</f>
        <v>100</v>
      </c>
      <c r="D730" s="17" t="s">
        <v>789</v>
      </c>
      <c r="E730" s="48">
        <v>24</v>
      </c>
      <c r="F730" s="17" t="s">
        <v>384</v>
      </c>
      <c r="G730" s="17"/>
    </row>
    <row r="731" spans="1:7" x14ac:dyDescent="0.2">
      <c r="A731" s="44" t="s">
        <v>813</v>
      </c>
      <c r="B731" s="257" cm="1">
        <f t="array" aca="1" ref="B731" ca="1">IF(ISBLANK(INDIRECT(MID(_xlfn.FORMULATEXT(C731),2,LEN(_xlfn.FORMULATEXT(C731))-1)))=TRUE,"",C731)</f>
        <v>191</v>
      </c>
      <c r="C731" s="65">
        <f>'CDS-I'!C41</f>
        <v>191</v>
      </c>
      <c r="D731" s="17" t="s">
        <v>789</v>
      </c>
      <c r="E731" s="48">
        <v>25</v>
      </c>
      <c r="F731" s="17" t="s">
        <v>384</v>
      </c>
      <c r="G731" s="17"/>
    </row>
    <row r="732" spans="1:7" x14ac:dyDescent="0.2">
      <c r="A732" s="44" t="s">
        <v>814</v>
      </c>
      <c r="B732" s="257" cm="1">
        <f t="array" aca="1" ref="B732" ca="1">IF(ISBLANK(INDIRECT(MID(_xlfn.FORMULATEXT(C732),2,LEN(_xlfn.FORMULATEXT(C732))-1)))=TRUE,"",C732)</f>
        <v>55</v>
      </c>
      <c r="C732" s="65">
        <f>'CDS-I'!C42</f>
        <v>55</v>
      </c>
      <c r="D732" s="17" t="s">
        <v>789</v>
      </c>
      <c r="E732" s="48">
        <v>26</v>
      </c>
      <c r="F732" s="17" t="s">
        <v>384</v>
      </c>
      <c r="G732" s="17"/>
    </row>
    <row r="733" spans="1:7" x14ac:dyDescent="0.2">
      <c r="A733" s="44" t="s">
        <v>815</v>
      </c>
      <c r="B733" s="257" cm="1">
        <f t="array" aca="1" ref="B733" ca="1">IF(ISBLANK(INDIRECT(MID(_xlfn.FORMULATEXT(C733),2,LEN(_xlfn.FORMULATEXT(C733))-1)))=TRUE,"",C733)</f>
        <v>2</v>
      </c>
      <c r="C733" s="65">
        <f>'CDS-I'!C43</f>
        <v>2</v>
      </c>
      <c r="D733" s="17" t="s">
        <v>789</v>
      </c>
      <c r="E733" s="48">
        <v>27</v>
      </c>
      <c r="F733" s="17" t="s">
        <v>384</v>
      </c>
      <c r="G733" s="17"/>
    </row>
    <row r="734" spans="1:7" x14ac:dyDescent="0.2">
      <c r="A734" s="44" t="s">
        <v>816</v>
      </c>
      <c r="B734" s="257" cm="1">
        <f t="array" aca="1" ref="B734" ca="1">IF(ISBLANK(INDIRECT(MID(_xlfn.FORMULATEXT(C734),2,LEN(_xlfn.FORMULATEXT(C734))-1)))=TRUE,"",C734)</f>
        <v>0</v>
      </c>
      <c r="C734" s="65">
        <f>'CDS-I'!C44</f>
        <v>0</v>
      </c>
      <c r="D734" s="17" t="s">
        <v>789</v>
      </c>
      <c r="E734" s="48">
        <v>28</v>
      </c>
      <c r="F734" s="17" t="s">
        <v>384</v>
      </c>
      <c r="G734" s="17"/>
    </row>
    <row r="735" spans="1:7" x14ac:dyDescent="0.2">
      <c r="A735" s="44" t="s">
        <v>817</v>
      </c>
      <c r="B735" s="257" cm="1">
        <f t="array" aca="1" ref="B735" ca="1">IF(ISBLANK(INDIRECT(MID(_xlfn.FORMULATEXT(C735),2,LEN(_xlfn.FORMULATEXT(C735))-1)))=TRUE,"",C735)</f>
        <v>0</v>
      </c>
      <c r="C735" s="65">
        <f>'CDS-I'!C45</f>
        <v>0</v>
      </c>
      <c r="D735" s="17" t="s">
        <v>789</v>
      </c>
      <c r="E735" s="48">
        <v>29</v>
      </c>
      <c r="F735" s="17" t="s">
        <v>384</v>
      </c>
      <c r="G735" s="17"/>
    </row>
    <row r="736" spans="1:7" x14ac:dyDescent="0.2">
      <c r="A736" s="44" t="s">
        <v>818</v>
      </c>
      <c r="B736" s="257" cm="1">
        <f t="array" aca="1" ref="B736" ca="1">IF(ISBLANK(INDIRECT(MID(_xlfn.FORMULATEXT(C736),2,LEN(_xlfn.FORMULATEXT(C736))-1)))=TRUE,"",C736)</f>
        <v>0</v>
      </c>
      <c r="C736" s="65">
        <f>'CDS-I'!C46</f>
        <v>0</v>
      </c>
      <c r="D736" s="17" t="s">
        <v>789</v>
      </c>
      <c r="E736" s="48">
        <v>30</v>
      </c>
      <c r="F736" s="17" t="s">
        <v>384</v>
      </c>
      <c r="G736" s="17"/>
    </row>
    <row r="737" spans="1:7" x14ac:dyDescent="0.2">
      <c r="A737" s="44" t="s">
        <v>819</v>
      </c>
      <c r="B737" s="257" cm="1">
        <f t="array" aca="1" ref="B737" ca="1">IF(ISBLANK(INDIRECT(MID(_xlfn.FORMULATEXT(C737),2,LEN(_xlfn.FORMULATEXT(C737))-1)))=TRUE,"",C737)</f>
        <v>348</v>
      </c>
      <c r="C737" s="65">
        <f>'CDS-I'!C47</f>
        <v>348</v>
      </c>
      <c r="D737" s="17" t="s">
        <v>789</v>
      </c>
      <c r="E737" s="48">
        <v>31</v>
      </c>
      <c r="F737" s="17" t="s">
        <v>384</v>
      </c>
      <c r="G737" s="17"/>
    </row>
    <row r="738" spans="1:7" x14ac:dyDescent="0.2">
      <c r="A738" s="44" t="s">
        <v>820</v>
      </c>
      <c r="B738" s="257" cm="1">
        <f t="array" aca="1" ref="B738" ca="1">IF(ISBLANK(INDIRECT(MID(_xlfn.FORMULATEXT(C738),2,LEN(_xlfn.FORMULATEXT(C738))-1)))=TRUE,"",C738)</f>
        <v>3</v>
      </c>
      <c r="C738" s="65">
        <f>'CDS-I'!E40</f>
        <v>3</v>
      </c>
      <c r="D738" s="17" t="s">
        <v>789</v>
      </c>
      <c r="E738" s="48">
        <v>32</v>
      </c>
      <c r="F738" s="17" t="s">
        <v>384</v>
      </c>
      <c r="G738" s="17"/>
    </row>
    <row r="739" spans="1:7" x14ac:dyDescent="0.2">
      <c r="A739" s="44" t="s">
        <v>821</v>
      </c>
      <c r="B739" s="257" cm="1">
        <f t="array" aca="1" ref="B739" ca="1">IF(ISBLANK(INDIRECT(MID(_xlfn.FORMULATEXT(C739),2,LEN(_xlfn.FORMULATEXT(C739))-1)))=TRUE,"",C739)</f>
        <v>18</v>
      </c>
      <c r="C739" s="65">
        <f>'CDS-I'!E41</f>
        <v>18</v>
      </c>
      <c r="D739" s="17" t="s">
        <v>789</v>
      </c>
      <c r="E739" s="48">
        <v>33</v>
      </c>
      <c r="F739" s="17" t="s">
        <v>384</v>
      </c>
      <c r="G739" s="17"/>
    </row>
    <row r="740" spans="1:7" x14ac:dyDescent="0.2">
      <c r="A740" s="44" t="s">
        <v>822</v>
      </c>
      <c r="B740" s="257" cm="1">
        <f t="array" aca="1" ref="B740" ca="1">IF(ISBLANK(INDIRECT(MID(_xlfn.FORMULATEXT(C740),2,LEN(_xlfn.FORMULATEXT(C740))-1)))=TRUE,"",C740)</f>
        <v>4</v>
      </c>
      <c r="C740" s="65">
        <f>'CDS-I'!E42</f>
        <v>4</v>
      </c>
      <c r="D740" s="17" t="s">
        <v>789</v>
      </c>
      <c r="E740" s="48">
        <v>34</v>
      </c>
      <c r="F740" s="17" t="s">
        <v>384</v>
      </c>
      <c r="G740" s="17"/>
    </row>
    <row r="741" spans="1:7" x14ac:dyDescent="0.2">
      <c r="A741" s="44" t="s">
        <v>823</v>
      </c>
      <c r="B741" s="257" cm="1">
        <f t="array" aca="1" ref="B741" ca="1">IF(ISBLANK(INDIRECT(MID(_xlfn.FORMULATEXT(C741),2,LEN(_xlfn.FORMULATEXT(C741))-1)))=TRUE,"",C741)</f>
        <v>0</v>
      </c>
      <c r="C741" s="65">
        <f>'CDS-I'!E43</f>
        <v>0</v>
      </c>
      <c r="D741" s="17" t="s">
        <v>789</v>
      </c>
      <c r="E741" s="48">
        <v>35</v>
      </c>
      <c r="F741" s="17" t="s">
        <v>384</v>
      </c>
      <c r="G741" s="17"/>
    </row>
    <row r="742" spans="1:7" x14ac:dyDescent="0.2">
      <c r="A742" s="44" t="s">
        <v>824</v>
      </c>
      <c r="B742" s="257" cm="1">
        <f t="array" aca="1" ref="B742" ca="1">IF(ISBLANK(INDIRECT(MID(_xlfn.FORMULATEXT(C742),2,LEN(_xlfn.FORMULATEXT(C742))-1)))=TRUE,"",C742)</f>
        <v>0</v>
      </c>
      <c r="C742" s="65">
        <f>'CDS-I'!E44</f>
        <v>0</v>
      </c>
      <c r="D742" s="17" t="s">
        <v>789</v>
      </c>
      <c r="E742" s="48">
        <v>36</v>
      </c>
      <c r="F742" s="17" t="s">
        <v>384</v>
      </c>
      <c r="G742" s="17"/>
    </row>
    <row r="743" spans="1:7" x14ac:dyDescent="0.2">
      <c r="A743" s="44" t="s">
        <v>825</v>
      </c>
      <c r="B743" s="257" cm="1">
        <f t="array" aca="1" ref="B743" ca="1">IF(ISBLANK(INDIRECT(MID(_xlfn.FORMULATEXT(C743),2,LEN(_xlfn.FORMULATEXT(C743))-1)))=TRUE,"",C743)</f>
        <v>0</v>
      </c>
      <c r="C743" s="65">
        <f>'CDS-I'!E45</f>
        <v>0</v>
      </c>
      <c r="D743" s="17" t="s">
        <v>789</v>
      </c>
      <c r="E743" s="48">
        <v>37</v>
      </c>
      <c r="F743" s="17" t="s">
        <v>384</v>
      </c>
      <c r="G743" s="17"/>
    </row>
    <row r="744" spans="1:7" x14ac:dyDescent="0.2">
      <c r="A744" s="44" t="s">
        <v>826</v>
      </c>
      <c r="B744" s="257" cm="1">
        <f t="array" aca="1" ref="B744" ca="1">IF(ISBLANK(INDIRECT(MID(_xlfn.FORMULATEXT(C744),2,LEN(_xlfn.FORMULATEXT(C744))-1)))=TRUE,"",C744)</f>
        <v>0</v>
      </c>
      <c r="C744" s="65">
        <f>'CDS-I'!E46</f>
        <v>0</v>
      </c>
      <c r="D744" s="17" t="s">
        <v>789</v>
      </c>
      <c r="E744" s="48">
        <v>38</v>
      </c>
      <c r="F744" s="17" t="s">
        <v>384</v>
      </c>
      <c r="G744" s="17"/>
    </row>
    <row r="745" spans="1:7" x14ac:dyDescent="0.2">
      <c r="A745" s="44" t="s">
        <v>827</v>
      </c>
      <c r="B745" s="257" cm="1">
        <f t="array" aca="1" ref="B745" ca="1">IF(ISBLANK(INDIRECT(MID(_xlfn.FORMULATEXT(C745),2,LEN(_xlfn.FORMULATEXT(C745))-1)))=TRUE,"",C745)</f>
        <v>25</v>
      </c>
      <c r="C745" s="65">
        <f>'CDS-I'!E47</f>
        <v>25</v>
      </c>
      <c r="D745" s="17" t="s">
        <v>789</v>
      </c>
      <c r="E745" s="48">
        <v>39</v>
      </c>
      <c r="F745" s="17" t="s">
        <v>384</v>
      </c>
      <c r="G745" s="17"/>
    </row>
    <row r="746" spans="1:7" ht="17" x14ac:dyDescent="0.2">
      <c r="A746" s="44" t="s">
        <v>828</v>
      </c>
      <c r="B746" s="257" t="str" cm="1">
        <f t="array" aca="1" ref="B746" ca="1">IF(ISBLANK(INDIRECT(MID(_xlfn.FORMULATEXT(C746),2,LEN(_xlfn.FORMULATEXT(C746))-1)))=TRUE,"",C746)</f>
        <v/>
      </c>
      <c r="C746" s="260">
        <f>'CDS-J'!B9</f>
        <v>0</v>
      </c>
      <c r="D746" s="17" t="s">
        <v>829</v>
      </c>
      <c r="E746" s="48">
        <v>1</v>
      </c>
      <c r="F746" s="17" t="s">
        <v>384</v>
      </c>
      <c r="G746" s="17"/>
    </row>
    <row r="747" spans="1:7" ht="17" x14ac:dyDescent="0.2">
      <c r="A747" s="44" t="s">
        <v>830</v>
      </c>
      <c r="B747" s="257" t="str" cm="1">
        <f t="array" aca="1" ref="B747" ca="1">IF(ISBLANK(INDIRECT(MID(_xlfn.FORMULATEXT(C747),2,LEN(_xlfn.FORMULATEXT(C747))-1)))=TRUE,"",C747)</f>
        <v/>
      </c>
      <c r="C747" s="260">
        <f>'CDS-J'!B10</f>
        <v>0</v>
      </c>
      <c r="D747" s="17" t="s">
        <v>829</v>
      </c>
      <c r="E747" s="48">
        <v>2</v>
      </c>
      <c r="F747" s="17" t="s">
        <v>384</v>
      </c>
      <c r="G747" s="17"/>
    </row>
    <row r="748" spans="1:7" ht="17" x14ac:dyDescent="0.2">
      <c r="A748" s="44" t="s">
        <v>831</v>
      </c>
      <c r="B748" s="257" t="str" cm="1">
        <f t="array" aca="1" ref="B748" ca="1">IF(ISBLANK(INDIRECT(MID(_xlfn.FORMULATEXT(C748),2,LEN(_xlfn.FORMULATEXT(C748))-1)))=TRUE,"",C748)</f>
        <v/>
      </c>
      <c r="C748" s="260">
        <f>'CDS-J'!B11</f>
        <v>0</v>
      </c>
      <c r="D748" s="17" t="s">
        <v>829</v>
      </c>
      <c r="E748" s="48">
        <v>3</v>
      </c>
      <c r="F748" s="17" t="s">
        <v>384</v>
      </c>
      <c r="G748" s="17"/>
    </row>
    <row r="749" spans="1:7" ht="17" x14ac:dyDescent="0.2">
      <c r="A749" s="44" t="s">
        <v>832</v>
      </c>
      <c r="B749" s="257" t="str" cm="1">
        <f t="array" aca="1" ref="B749" ca="1">IF(ISBLANK(INDIRECT(MID(_xlfn.FORMULATEXT(C749),2,LEN(_xlfn.FORMULATEXT(C749))-1)))=TRUE,"",C749)</f>
        <v/>
      </c>
      <c r="C749" s="260">
        <f>'CDS-J'!B12</f>
        <v>0</v>
      </c>
      <c r="D749" s="17" t="s">
        <v>829</v>
      </c>
      <c r="E749" s="48">
        <v>4</v>
      </c>
      <c r="F749" s="17" t="s">
        <v>384</v>
      </c>
      <c r="G749" s="17"/>
    </row>
    <row r="750" spans="1:7" ht="17" x14ac:dyDescent="0.2">
      <c r="A750" s="44" t="s">
        <v>833</v>
      </c>
      <c r="B750" s="257" t="str" cm="1">
        <f t="array" aca="1" ref="B750" ca="1">IF(ISBLANK(INDIRECT(MID(_xlfn.FORMULATEXT(C750),2,LEN(_xlfn.FORMULATEXT(C750))-1)))=TRUE,"",C750)</f>
        <v/>
      </c>
      <c r="C750" s="260">
        <f>'CDS-J'!B13</f>
        <v>0</v>
      </c>
      <c r="D750" s="17" t="s">
        <v>829</v>
      </c>
      <c r="E750" s="48">
        <v>5</v>
      </c>
      <c r="F750" s="17" t="s">
        <v>384</v>
      </c>
      <c r="G750" s="17"/>
    </row>
    <row r="751" spans="1:7" ht="17" x14ac:dyDescent="0.2">
      <c r="A751" s="44" t="s">
        <v>834</v>
      </c>
      <c r="B751" s="257" t="str" cm="1">
        <f t="array" aca="1" ref="B751" ca="1">IF(ISBLANK(INDIRECT(MID(_xlfn.FORMULATEXT(C751),2,LEN(_xlfn.FORMULATEXT(C751))-1)))=TRUE,"",C751)</f>
        <v/>
      </c>
      <c r="C751" s="260">
        <f>'CDS-J'!B14</f>
        <v>0</v>
      </c>
      <c r="D751" s="17" t="s">
        <v>829</v>
      </c>
      <c r="E751" s="48">
        <v>6</v>
      </c>
      <c r="F751" s="17" t="s">
        <v>384</v>
      </c>
      <c r="G751" s="17"/>
    </row>
    <row r="752" spans="1:7" ht="17" x14ac:dyDescent="0.2">
      <c r="A752" s="44" t="s">
        <v>835</v>
      </c>
      <c r="B752" s="257" t="str" cm="1">
        <f t="array" aca="1" ref="B752" ca="1">IF(ISBLANK(INDIRECT(MID(_xlfn.FORMULATEXT(C752),2,LEN(_xlfn.FORMULATEXT(C752))-1)))=TRUE,"",C752)</f>
        <v/>
      </c>
      <c r="C752" s="260">
        <f>'CDS-J'!B15</f>
        <v>0</v>
      </c>
      <c r="D752" s="17" t="s">
        <v>829</v>
      </c>
      <c r="E752" s="48">
        <v>7</v>
      </c>
      <c r="F752" s="17" t="s">
        <v>384</v>
      </c>
      <c r="G752" s="17"/>
    </row>
    <row r="753" spans="1:7" ht="17" x14ac:dyDescent="0.2">
      <c r="A753" s="44" t="s">
        <v>836</v>
      </c>
      <c r="B753" s="257" t="str" cm="1">
        <f t="array" aca="1" ref="B753" ca="1">IF(ISBLANK(INDIRECT(MID(_xlfn.FORMULATEXT(C753),2,LEN(_xlfn.FORMULATEXT(C753))-1)))=TRUE,"",C753)</f>
        <v/>
      </c>
      <c r="C753" s="260">
        <f>'CDS-J'!B16</f>
        <v>0</v>
      </c>
      <c r="D753" s="17" t="s">
        <v>829</v>
      </c>
      <c r="E753" s="48">
        <v>8</v>
      </c>
      <c r="F753" s="17" t="s">
        <v>384</v>
      </c>
      <c r="G753" s="17"/>
    </row>
    <row r="754" spans="1:7" ht="17" x14ac:dyDescent="0.2">
      <c r="A754" s="44" t="s">
        <v>837</v>
      </c>
      <c r="B754" s="257" t="str" cm="1">
        <f t="array" aca="1" ref="B754" ca="1">IF(ISBLANK(INDIRECT(MID(_xlfn.FORMULATEXT(C754),2,LEN(_xlfn.FORMULATEXT(C754))-1)))=TRUE,"",C754)</f>
        <v/>
      </c>
      <c r="C754" s="260">
        <f>'CDS-J'!B17</f>
        <v>0</v>
      </c>
      <c r="D754" s="17" t="s">
        <v>829</v>
      </c>
      <c r="E754" s="48">
        <v>9</v>
      </c>
      <c r="F754" s="17" t="s">
        <v>384</v>
      </c>
      <c r="G754" s="17"/>
    </row>
    <row r="755" spans="1:7" ht="17" x14ac:dyDescent="0.2">
      <c r="A755" s="44" t="s">
        <v>838</v>
      </c>
      <c r="B755" s="257" t="str" cm="1">
        <f t="array" aca="1" ref="B755" ca="1">IF(ISBLANK(INDIRECT(MID(_xlfn.FORMULATEXT(C755),2,LEN(_xlfn.FORMULATEXT(C755))-1)))=TRUE,"",C755)</f>
        <v/>
      </c>
      <c r="C755" s="260">
        <f>'CDS-J'!B18</f>
        <v>0</v>
      </c>
      <c r="D755" s="17" t="s">
        <v>829</v>
      </c>
      <c r="E755" s="48">
        <v>10</v>
      </c>
      <c r="F755" s="17" t="s">
        <v>384</v>
      </c>
      <c r="G755" s="17"/>
    </row>
    <row r="756" spans="1:7" ht="17" x14ac:dyDescent="0.2">
      <c r="A756" s="44" t="s">
        <v>839</v>
      </c>
      <c r="B756" s="257" t="str" cm="1">
        <f t="array" aca="1" ref="B756" ca="1">IF(ISBLANK(INDIRECT(MID(_xlfn.FORMULATEXT(C756),2,LEN(_xlfn.FORMULATEXT(C756))-1)))=TRUE,"",C756)</f>
        <v/>
      </c>
      <c r="C756" s="260">
        <f>'CDS-J'!B19</f>
        <v>0</v>
      </c>
      <c r="D756" s="17" t="s">
        <v>829</v>
      </c>
      <c r="E756" s="48">
        <v>11</v>
      </c>
      <c r="F756" s="17" t="s">
        <v>384</v>
      </c>
      <c r="G756" s="17"/>
    </row>
    <row r="757" spans="1:7" ht="17" x14ac:dyDescent="0.2">
      <c r="A757" s="44" t="s">
        <v>840</v>
      </c>
      <c r="B757" s="257" t="str" cm="1">
        <f t="array" aca="1" ref="B757" ca="1">IF(ISBLANK(INDIRECT(MID(_xlfn.FORMULATEXT(C757),2,LEN(_xlfn.FORMULATEXT(C757))-1)))=TRUE,"",C757)</f>
        <v/>
      </c>
      <c r="C757" s="260">
        <f>'CDS-J'!B20</f>
        <v>0</v>
      </c>
      <c r="D757" s="17" t="s">
        <v>829</v>
      </c>
      <c r="E757" s="48">
        <v>12</v>
      </c>
      <c r="F757" s="17" t="s">
        <v>384</v>
      </c>
      <c r="G757" s="17"/>
    </row>
    <row r="758" spans="1:7" ht="17" x14ac:dyDescent="0.2">
      <c r="A758" s="44" t="s">
        <v>841</v>
      </c>
      <c r="B758" s="257" t="str" cm="1">
        <f t="array" aca="1" ref="B758" ca="1">IF(ISBLANK(INDIRECT(MID(_xlfn.FORMULATEXT(C758),2,LEN(_xlfn.FORMULATEXT(C758))-1)))=TRUE,"",C758)</f>
        <v/>
      </c>
      <c r="C758" s="260">
        <f>'CDS-J'!B21</f>
        <v>0</v>
      </c>
      <c r="D758" s="17" t="s">
        <v>829</v>
      </c>
      <c r="E758" s="48">
        <v>13</v>
      </c>
      <c r="F758" s="17" t="s">
        <v>384</v>
      </c>
      <c r="G758" s="17"/>
    </row>
    <row r="759" spans="1:7" ht="17" x14ac:dyDescent="0.2">
      <c r="A759" s="44" t="s">
        <v>842</v>
      </c>
      <c r="B759" s="257" t="str" cm="1">
        <f t="array" aca="1" ref="B759" ca="1">IF(ISBLANK(INDIRECT(MID(_xlfn.FORMULATEXT(C759),2,LEN(_xlfn.FORMULATEXT(C759))-1)))=TRUE,"",C759)</f>
        <v/>
      </c>
      <c r="C759" s="260">
        <f>'CDS-J'!B22</f>
        <v>0</v>
      </c>
      <c r="D759" s="17" t="s">
        <v>829</v>
      </c>
      <c r="E759" s="48">
        <v>14</v>
      </c>
      <c r="F759" s="17" t="s">
        <v>384</v>
      </c>
      <c r="G759" s="17"/>
    </row>
    <row r="760" spans="1:7" ht="17" x14ac:dyDescent="0.2">
      <c r="A760" s="44" t="s">
        <v>843</v>
      </c>
      <c r="B760" s="257" t="str" cm="1">
        <f t="array" aca="1" ref="B760" ca="1">IF(ISBLANK(INDIRECT(MID(_xlfn.FORMULATEXT(C760),2,LEN(_xlfn.FORMULATEXT(C760))-1)))=TRUE,"",C760)</f>
        <v/>
      </c>
      <c r="C760" s="260">
        <f>'CDS-J'!B23</f>
        <v>0</v>
      </c>
      <c r="D760" s="17" t="s">
        <v>829</v>
      </c>
      <c r="E760" s="48">
        <v>15</v>
      </c>
      <c r="F760" s="17" t="s">
        <v>384</v>
      </c>
      <c r="G760" s="17"/>
    </row>
    <row r="761" spans="1:7" ht="17" x14ac:dyDescent="0.2">
      <c r="A761" s="44" t="s">
        <v>844</v>
      </c>
      <c r="B761" s="257" t="str" cm="1">
        <f t="array" aca="1" ref="B761" ca="1">IF(ISBLANK(INDIRECT(MID(_xlfn.FORMULATEXT(C761),2,LEN(_xlfn.FORMULATEXT(C761))-1)))=TRUE,"",C761)</f>
        <v/>
      </c>
      <c r="C761" s="260">
        <f>'CDS-J'!B24</f>
        <v>0</v>
      </c>
      <c r="D761" s="17" t="s">
        <v>829</v>
      </c>
      <c r="E761" s="48">
        <v>16</v>
      </c>
      <c r="F761" s="17" t="s">
        <v>384</v>
      </c>
      <c r="G761" s="17"/>
    </row>
    <row r="762" spans="1:7" ht="17" x14ac:dyDescent="0.2">
      <c r="A762" s="44" t="s">
        <v>845</v>
      </c>
      <c r="B762" s="257" t="str" cm="1">
        <f t="array" aca="1" ref="B762" ca="1">IF(ISBLANK(INDIRECT(MID(_xlfn.FORMULATEXT(C762),2,LEN(_xlfn.FORMULATEXT(C762))-1)))=TRUE,"",C762)</f>
        <v/>
      </c>
      <c r="C762" s="260">
        <f>'CDS-J'!B25</f>
        <v>0</v>
      </c>
      <c r="D762" s="17" t="s">
        <v>829</v>
      </c>
      <c r="E762" s="48">
        <v>17</v>
      </c>
      <c r="F762" s="17" t="s">
        <v>384</v>
      </c>
      <c r="G762" s="17"/>
    </row>
    <row r="763" spans="1:7" ht="17" x14ac:dyDescent="0.2">
      <c r="A763" s="44" t="s">
        <v>846</v>
      </c>
      <c r="B763" s="257" t="str" cm="1">
        <f t="array" aca="1" ref="B763" ca="1">IF(ISBLANK(INDIRECT(MID(_xlfn.FORMULATEXT(C763),2,LEN(_xlfn.FORMULATEXT(C763))-1)))=TRUE,"",C763)</f>
        <v/>
      </c>
      <c r="C763" s="260">
        <f>'CDS-J'!B26</f>
        <v>0</v>
      </c>
      <c r="D763" s="17" t="s">
        <v>829</v>
      </c>
      <c r="E763" s="48">
        <v>18</v>
      </c>
      <c r="F763" s="17" t="s">
        <v>384</v>
      </c>
      <c r="G763" s="17"/>
    </row>
    <row r="764" spans="1:7" ht="17" x14ac:dyDescent="0.2">
      <c r="A764" s="44" t="s">
        <v>847</v>
      </c>
      <c r="B764" s="257" t="str" cm="1">
        <f t="array" aca="1" ref="B764" ca="1">IF(ISBLANK(INDIRECT(MID(_xlfn.FORMULATEXT(C764),2,LEN(_xlfn.FORMULATEXT(C764))-1)))=TRUE,"",C764)</f>
        <v/>
      </c>
      <c r="C764" s="260">
        <f>'CDS-J'!B27</f>
        <v>0</v>
      </c>
      <c r="D764" s="17" t="s">
        <v>829</v>
      </c>
      <c r="E764" s="48">
        <v>19</v>
      </c>
      <c r="F764" s="17" t="s">
        <v>384</v>
      </c>
      <c r="G764" s="17"/>
    </row>
    <row r="765" spans="1:7" ht="17" x14ac:dyDescent="0.2">
      <c r="A765" s="44" t="s">
        <v>848</v>
      </c>
      <c r="B765" s="257" t="str" cm="1">
        <f t="array" aca="1" ref="B765" ca="1">IF(ISBLANK(INDIRECT(MID(_xlfn.FORMULATEXT(C765),2,LEN(_xlfn.FORMULATEXT(C765))-1)))=TRUE,"",C765)</f>
        <v/>
      </c>
      <c r="C765" s="260">
        <f>'CDS-J'!B28</f>
        <v>0</v>
      </c>
      <c r="D765" s="17" t="s">
        <v>829</v>
      </c>
      <c r="E765" s="48">
        <v>20</v>
      </c>
      <c r="F765" s="17" t="s">
        <v>384</v>
      </c>
      <c r="G765" s="17"/>
    </row>
    <row r="766" spans="1:7" ht="17" x14ac:dyDescent="0.2">
      <c r="A766" s="44" t="s">
        <v>849</v>
      </c>
      <c r="B766" s="257" t="str" cm="1">
        <f t="array" aca="1" ref="B766" ca="1">IF(ISBLANK(INDIRECT(MID(_xlfn.FORMULATEXT(C766),2,LEN(_xlfn.FORMULATEXT(C766))-1)))=TRUE,"",C766)</f>
        <v/>
      </c>
      <c r="C766" s="260">
        <f>'CDS-J'!B29</f>
        <v>0</v>
      </c>
      <c r="D766" s="17" t="s">
        <v>829</v>
      </c>
      <c r="E766" s="48">
        <v>21</v>
      </c>
      <c r="F766" s="17" t="s">
        <v>384</v>
      </c>
      <c r="G766" s="17"/>
    </row>
    <row r="767" spans="1:7" ht="17" x14ac:dyDescent="0.2">
      <c r="A767" s="44" t="s">
        <v>850</v>
      </c>
      <c r="B767" s="257" t="str" cm="1">
        <f t="array" aca="1" ref="B767" ca="1">IF(ISBLANK(INDIRECT(MID(_xlfn.FORMULATEXT(C767),2,LEN(_xlfn.FORMULATEXT(C767))-1)))=TRUE,"",C767)</f>
        <v/>
      </c>
      <c r="C767" s="260">
        <f>'CDS-J'!B30</f>
        <v>0</v>
      </c>
      <c r="D767" s="17" t="s">
        <v>829</v>
      </c>
      <c r="E767" s="48">
        <v>22</v>
      </c>
      <c r="F767" s="17" t="s">
        <v>384</v>
      </c>
      <c r="G767" s="17"/>
    </row>
    <row r="768" spans="1:7" ht="17" x14ac:dyDescent="0.2">
      <c r="A768" s="44" t="s">
        <v>851</v>
      </c>
      <c r="B768" s="257" t="str" cm="1">
        <f t="array" aca="1" ref="B768" ca="1">IF(ISBLANK(INDIRECT(MID(_xlfn.FORMULATEXT(C768),2,LEN(_xlfn.FORMULATEXT(C768))-1)))=TRUE,"",C768)</f>
        <v/>
      </c>
      <c r="C768" s="260">
        <f>'CDS-J'!B31</f>
        <v>0</v>
      </c>
      <c r="D768" s="17" t="s">
        <v>829</v>
      </c>
      <c r="E768" s="48">
        <v>23</v>
      </c>
      <c r="F768" s="17" t="s">
        <v>384</v>
      </c>
      <c r="G768" s="17"/>
    </row>
    <row r="769" spans="1:7" ht="17" x14ac:dyDescent="0.2">
      <c r="A769" s="44" t="s">
        <v>852</v>
      </c>
      <c r="B769" s="257" t="str" cm="1">
        <f t="array" aca="1" ref="B769" ca="1">IF(ISBLANK(INDIRECT(MID(_xlfn.FORMULATEXT(C769),2,LEN(_xlfn.FORMULATEXT(C769))-1)))=TRUE,"",C769)</f>
        <v/>
      </c>
      <c r="C769" s="260">
        <f>'CDS-J'!B32</f>
        <v>0</v>
      </c>
      <c r="D769" s="17" t="s">
        <v>829</v>
      </c>
      <c r="E769" s="48">
        <v>24</v>
      </c>
      <c r="F769" s="17" t="s">
        <v>384</v>
      </c>
      <c r="G769" s="17"/>
    </row>
    <row r="770" spans="1:7" ht="17" x14ac:dyDescent="0.2">
      <c r="A770" s="44" t="s">
        <v>853</v>
      </c>
      <c r="B770" s="257" t="str" cm="1">
        <f t="array" aca="1" ref="B770" ca="1">IF(ISBLANK(INDIRECT(MID(_xlfn.FORMULATEXT(C770),2,LEN(_xlfn.FORMULATEXT(C770))-1)))=TRUE,"",C770)</f>
        <v/>
      </c>
      <c r="C770" s="260">
        <f>'CDS-J'!B33</f>
        <v>0</v>
      </c>
      <c r="D770" s="17" t="s">
        <v>829</v>
      </c>
      <c r="E770" s="48">
        <v>25</v>
      </c>
      <c r="F770" s="17" t="s">
        <v>384</v>
      </c>
      <c r="G770" s="17"/>
    </row>
    <row r="771" spans="1:7" ht="17" x14ac:dyDescent="0.2">
      <c r="A771" s="44" t="s">
        <v>854</v>
      </c>
      <c r="B771" s="257" t="str" cm="1">
        <f t="array" aca="1" ref="B771" ca="1">IF(ISBLANK(INDIRECT(MID(_xlfn.FORMULATEXT(C771),2,LEN(_xlfn.FORMULATEXT(C771))-1)))=TRUE,"",C771)</f>
        <v/>
      </c>
      <c r="C771" s="260">
        <f>'CDS-J'!B34</f>
        <v>0</v>
      </c>
      <c r="D771" s="17" t="s">
        <v>829</v>
      </c>
      <c r="E771" s="48">
        <v>26</v>
      </c>
      <c r="F771" s="17" t="s">
        <v>384</v>
      </c>
      <c r="G771" s="17"/>
    </row>
    <row r="772" spans="1:7" ht="17" x14ac:dyDescent="0.2">
      <c r="A772" s="44" t="s">
        <v>855</v>
      </c>
      <c r="B772" s="257" t="str" cm="1">
        <f t="array" aca="1" ref="B772" ca="1">IF(ISBLANK(INDIRECT(MID(_xlfn.FORMULATEXT(C772),2,LEN(_xlfn.FORMULATEXT(C772))-1)))=TRUE,"",C772)</f>
        <v/>
      </c>
      <c r="C772" s="260">
        <f>'CDS-J'!B35</f>
        <v>0</v>
      </c>
      <c r="D772" s="17" t="s">
        <v>829</v>
      </c>
      <c r="E772" s="48">
        <v>27</v>
      </c>
      <c r="F772" s="17" t="s">
        <v>384</v>
      </c>
      <c r="G772" s="17"/>
    </row>
    <row r="773" spans="1:7" ht="17" x14ac:dyDescent="0.2">
      <c r="A773" s="44" t="s">
        <v>856</v>
      </c>
      <c r="B773" s="257" t="str" cm="1">
        <f t="array" aca="1" ref="B773" ca="1">IF(ISBLANK(INDIRECT(MID(_xlfn.FORMULATEXT(C773),2,LEN(_xlfn.FORMULATEXT(C773))-1)))=TRUE,"",C773)</f>
        <v/>
      </c>
      <c r="C773" s="260">
        <f>'CDS-J'!B36</f>
        <v>0</v>
      </c>
      <c r="D773" s="17" t="s">
        <v>829</v>
      </c>
      <c r="E773" s="48">
        <v>28</v>
      </c>
      <c r="F773" s="17" t="s">
        <v>384</v>
      </c>
      <c r="G773" s="17"/>
    </row>
    <row r="774" spans="1:7" ht="17" x14ac:dyDescent="0.2">
      <c r="A774" s="44" t="s">
        <v>857</v>
      </c>
      <c r="B774" s="257" t="str" cm="1">
        <f t="array" aca="1" ref="B774" ca="1">IF(ISBLANK(INDIRECT(MID(_xlfn.FORMULATEXT(C774),2,LEN(_xlfn.FORMULATEXT(C774))-1)))=TRUE,"",C774)</f>
        <v/>
      </c>
      <c r="C774" s="260">
        <f>'CDS-J'!B37</f>
        <v>0</v>
      </c>
      <c r="D774" s="17" t="s">
        <v>829</v>
      </c>
      <c r="E774" s="48">
        <v>29</v>
      </c>
      <c r="F774" s="17" t="s">
        <v>384</v>
      </c>
      <c r="G774" s="17"/>
    </row>
    <row r="775" spans="1:7" ht="17" x14ac:dyDescent="0.2">
      <c r="A775" s="44" t="s">
        <v>858</v>
      </c>
      <c r="B775" s="257" t="str" cm="1">
        <f t="array" aca="1" ref="B775" ca="1">IF(ISBLANK(INDIRECT(MID(_xlfn.FORMULATEXT(C775),2,LEN(_xlfn.FORMULATEXT(C775))-1)))=TRUE,"",C775)</f>
        <v/>
      </c>
      <c r="C775" s="260">
        <f>'CDS-J'!B38</f>
        <v>0</v>
      </c>
      <c r="D775" s="17" t="s">
        <v>829</v>
      </c>
      <c r="E775" s="48">
        <v>30</v>
      </c>
      <c r="F775" s="17" t="s">
        <v>384</v>
      </c>
      <c r="G775" s="17"/>
    </row>
    <row r="776" spans="1:7" ht="17" x14ac:dyDescent="0.2">
      <c r="A776" s="44" t="s">
        <v>859</v>
      </c>
      <c r="B776" s="257" t="str" cm="1">
        <f t="array" aca="1" ref="B776" ca="1">IF(ISBLANK(INDIRECT(MID(_xlfn.FORMULATEXT(C776),2,LEN(_xlfn.FORMULATEXT(C776))-1)))=TRUE,"",C776)</f>
        <v/>
      </c>
      <c r="C776" s="260">
        <f>'CDS-J'!B39</f>
        <v>0</v>
      </c>
      <c r="D776" s="17" t="s">
        <v>829</v>
      </c>
      <c r="E776" s="48">
        <v>31</v>
      </c>
      <c r="F776" s="17" t="s">
        <v>384</v>
      </c>
      <c r="G776" s="17"/>
    </row>
    <row r="777" spans="1:7" ht="17" x14ac:dyDescent="0.2">
      <c r="A777" s="44" t="s">
        <v>860</v>
      </c>
      <c r="B777" s="257" t="str" cm="1">
        <f t="array" aca="1" ref="B777" ca="1">IF(ISBLANK(INDIRECT(MID(_xlfn.FORMULATEXT(C777),2,LEN(_xlfn.FORMULATEXT(C777))-1)))=TRUE,"",C777)</f>
        <v/>
      </c>
      <c r="C777" s="260">
        <f>'CDS-J'!B40</f>
        <v>0</v>
      </c>
      <c r="D777" s="17" t="s">
        <v>829</v>
      </c>
      <c r="E777" s="48">
        <v>32</v>
      </c>
      <c r="F777" s="17" t="s">
        <v>384</v>
      </c>
      <c r="G777" s="17"/>
    </row>
    <row r="778" spans="1:7" ht="17" x14ac:dyDescent="0.2">
      <c r="A778" s="44" t="s">
        <v>861</v>
      </c>
      <c r="B778" s="257" t="str" cm="1">
        <f t="array" aca="1" ref="B778" ca="1">IF(ISBLANK(INDIRECT(MID(_xlfn.FORMULATEXT(C778),2,LEN(_xlfn.FORMULATEXT(C778))-1)))=TRUE,"",C778)</f>
        <v/>
      </c>
      <c r="C778" s="260">
        <f>'CDS-J'!B41</f>
        <v>0</v>
      </c>
      <c r="D778" s="17" t="s">
        <v>829</v>
      </c>
      <c r="E778" s="48">
        <v>33</v>
      </c>
      <c r="F778" s="17" t="s">
        <v>384</v>
      </c>
      <c r="G778" s="17"/>
    </row>
    <row r="779" spans="1:7" ht="17" x14ac:dyDescent="0.2">
      <c r="A779" s="44" t="s">
        <v>862</v>
      </c>
      <c r="B779" s="257" t="str" cm="1">
        <f t="array" aca="1" ref="B779" ca="1">IF(ISBLANK(INDIRECT(MID(_xlfn.FORMULATEXT(C779),2,LEN(_xlfn.FORMULATEXT(C779))-1)))=TRUE,"",C779)</f>
        <v/>
      </c>
      <c r="C779" s="260">
        <f>'CDS-J'!B42</f>
        <v>0</v>
      </c>
      <c r="D779" s="17" t="s">
        <v>829</v>
      </c>
      <c r="E779" s="48">
        <v>34</v>
      </c>
      <c r="F779" s="17" t="s">
        <v>384</v>
      </c>
      <c r="G779" s="17"/>
    </row>
    <row r="780" spans="1:7" ht="17" x14ac:dyDescent="0.2">
      <c r="A780" s="44" t="s">
        <v>863</v>
      </c>
      <c r="B780" s="257" t="str" cm="1">
        <f t="array" aca="1" ref="B780" ca="1">IF(ISBLANK(INDIRECT(MID(_xlfn.FORMULATEXT(C780),2,LEN(_xlfn.FORMULATEXT(C780))-1)))=TRUE,"",C780)</f>
        <v/>
      </c>
      <c r="C780" s="260">
        <f>'CDS-J'!B43</f>
        <v>0</v>
      </c>
      <c r="D780" s="17" t="s">
        <v>829</v>
      </c>
      <c r="E780" s="48">
        <v>35</v>
      </c>
      <c r="F780" s="17" t="s">
        <v>384</v>
      </c>
      <c r="G780" s="17"/>
    </row>
    <row r="781" spans="1:7" ht="17" x14ac:dyDescent="0.2">
      <c r="A781" s="44" t="s">
        <v>864</v>
      </c>
      <c r="B781" s="257" t="str" cm="1">
        <f t="array" aca="1" ref="B781" ca="1">IF(ISBLANK(INDIRECT(MID(_xlfn.FORMULATEXT(C781),2,LEN(_xlfn.FORMULATEXT(C781))-1)))=TRUE,"",C781)</f>
        <v/>
      </c>
      <c r="C781" s="260">
        <f>'CDS-J'!B44</f>
        <v>0</v>
      </c>
      <c r="D781" s="17" t="s">
        <v>829</v>
      </c>
      <c r="E781" s="48">
        <v>36</v>
      </c>
      <c r="F781" s="17" t="s">
        <v>384</v>
      </c>
      <c r="G781" s="17"/>
    </row>
    <row r="782" spans="1:7" ht="17" x14ac:dyDescent="0.2">
      <c r="A782" s="44" t="s">
        <v>865</v>
      </c>
      <c r="B782" s="257" t="str" cm="1">
        <f t="array" aca="1" ref="B782" ca="1">IF(ISBLANK(INDIRECT(MID(_xlfn.FORMULATEXT(C782),2,LEN(_xlfn.FORMULATEXT(C782))-1)))=TRUE,"",C782)</f>
        <v/>
      </c>
      <c r="C782" s="260">
        <f>'CDS-J'!B45</f>
        <v>0</v>
      </c>
      <c r="D782" s="17" t="s">
        <v>829</v>
      </c>
      <c r="E782" s="48">
        <v>37</v>
      </c>
      <c r="F782" s="17" t="s">
        <v>384</v>
      </c>
      <c r="G782" s="17"/>
    </row>
    <row r="783" spans="1:7" ht="17" x14ac:dyDescent="0.2">
      <c r="A783" s="44" t="s">
        <v>866</v>
      </c>
      <c r="B783" s="257" t="str" cm="1">
        <f t="array" aca="1" ref="B783" ca="1">IF(ISBLANK(INDIRECT(MID(_xlfn.FORMULATEXT(C783),2,LEN(_xlfn.FORMULATEXT(C783))-1)))=TRUE,"",C783)</f>
        <v/>
      </c>
      <c r="C783" s="260">
        <f>'CDS-J'!B46</f>
        <v>0</v>
      </c>
      <c r="D783" s="17" t="s">
        <v>829</v>
      </c>
      <c r="E783" s="48">
        <v>38</v>
      </c>
      <c r="F783" s="17" t="s">
        <v>384</v>
      </c>
      <c r="G783" s="17"/>
    </row>
    <row r="784" spans="1:7" ht="17" x14ac:dyDescent="0.2">
      <c r="A784" s="44" t="s">
        <v>867</v>
      </c>
      <c r="B784" s="257" t="str" cm="1">
        <f t="array" aca="1" ref="B784" ca="1">IF(ISBLANK(INDIRECT(MID(_xlfn.FORMULATEXT(C784),2,LEN(_xlfn.FORMULATEXT(C784))-1)))=TRUE,"",C784)</f>
        <v/>
      </c>
      <c r="C784" s="260">
        <f>'CDS-J'!B47</f>
        <v>0</v>
      </c>
      <c r="D784" s="17" t="s">
        <v>829</v>
      </c>
      <c r="E784" s="48">
        <v>39</v>
      </c>
      <c r="F784" s="17" t="s">
        <v>384</v>
      </c>
      <c r="G784" s="17"/>
    </row>
    <row r="785" spans="1:7" ht="17" x14ac:dyDescent="0.2">
      <c r="A785" s="44" t="s">
        <v>868</v>
      </c>
      <c r="B785" s="257" t="str" cm="1">
        <f t="array" aca="1" ref="B785" ca="1">IF(ISBLANK(INDIRECT(MID(_xlfn.FORMULATEXT(C785),2,LEN(_xlfn.FORMULATEXT(C785))-1)))=TRUE,"",C785)</f>
        <v/>
      </c>
      <c r="C785" s="260">
        <f>'CDS-J'!C9</f>
        <v>0</v>
      </c>
      <c r="D785" s="17" t="s">
        <v>829</v>
      </c>
      <c r="E785" s="48">
        <v>40</v>
      </c>
      <c r="F785" s="17" t="s">
        <v>384</v>
      </c>
      <c r="G785" s="17"/>
    </row>
    <row r="786" spans="1:7" ht="17" x14ac:dyDescent="0.2">
      <c r="A786" s="44" t="s">
        <v>869</v>
      </c>
      <c r="B786" s="257" t="str" cm="1">
        <f t="array" aca="1" ref="B786" ca="1">IF(ISBLANK(INDIRECT(MID(_xlfn.FORMULATEXT(C786),2,LEN(_xlfn.FORMULATEXT(C786))-1)))=TRUE,"",C786)</f>
        <v/>
      </c>
      <c r="C786" s="260">
        <f>'CDS-J'!C10</f>
        <v>0</v>
      </c>
      <c r="D786" s="17" t="s">
        <v>829</v>
      </c>
      <c r="E786" s="48">
        <v>41</v>
      </c>
      <c r="F786" s="17" t="s">
        <v>384</v>
      </c>
      <c r="G786" s="17"/>
    </row>
    <row r="787" spans="1:7" ht="17" x14ac:dyDescent="0.2">
      <c r="A787" s="44" t="s">
        <v>870</v>
      </c>
      <c r="B787" s="257" t="str" cm="1">
        <f t="array" aca="1" ref="B787" ca="1">IF(ISBLANK(INDIRECT(MID(_xlfn.FORMULATEXT(C787),2,LEN(_xlfn.FORMULATEXT(C787))-1)))=TRUE,"",C787)</f>
        <v/>
      </c>
      <c r="C787" s="260">
        <f>'CDS-J'!C11</f>
        <v>0</v>
      </c>
      <c r="D787" s="17" t="s">
        <v>829</v>
      </c>
      <c r="E787" s="48">
        <v>42</v>
      </c>
      <c r="F787" s="17" t="s">
        <v>384</v>
      </c>
      <c r="G787" s="17"/>
    </row>
    <row r="788" spans="1:7" ht="17" x14ac:dyDescent="0.2">
      <c r="A788" s="44" t="s">
        <v>871</v>
      </c>
      <c r="B788" s="257" t="str" cm="1">
        <f t="array" aca="1" ref="B788" ca="1">IF(ISBLANK(INDIRECT(MID(_xlfn.FORMULATEXT(C788),2,LEN(_xlfn.FORMULATEXT(C788))-1)))=TRUE,"",C788)</f>
        <v/>
      </c>
      <c r="C788" s="260">
        <f>'CDS-J'!C12</f>
        <v>0</v>
      </c>
      <c r="D788" s="17" t="s">
        <v>829</v>
      </c>
      <c r="E788" s="48">
        <v>43</v>
      </c>
      <c r="F788" s="17" t="s">
        <v>384</v>
      </c>
      <c r="G788" s="17"/>
    </row>
    <row r="789" spans="1:7" ht="17" x14ac:dyDescent="0.2">
      <c r="A789" s="44" t="s">
        <v>872</v>
      </c>
      <c r="B789" s="257" t="str" cm="1">
        <f t="array" aca="1" ref="B789" ca="1">IF(ISBLANK(INDIRECT(MID(_xlfn.FORMULATEXT(C789),2,LEN(_xlfn.FORMULATEXT(C789))-1)))=TRUE,"",C789)</f>
        <v/>
      </c>
      <c r="C789" s="260">
        <f>'CDS-J'!C13</f>
        <v>0</v>
      </c>
      <c r="D789" s="17" t="s">
        <v>829</v>
      </c>
      <c r="E789" s="48">
        <v>44</v>
      </c>
      <c r="F789" s="17" t="s">
        <v>384</v>
      </c>
      <c r="G789" s="17"/>
    </row>
    <row r="790" spans="1:7" ht="17" x14ac:dyDescent="0.2">
      <c r="A790" s="44" t="s">
        <v>873</v>
      </c>
      <c r="B790" s="257" t="str" cm="1">
        <f t="array" aca="1" ref="B790" ca="1">IF(ISBLANK(INDIRECT(MID(_xlfn.FORMULATEXT(C790),2,LEN(_xlfn.FORMULATEXT(C790))-1)))=TRUE,"",C790)</f>
        <v/>
      </c>
      <c r="C790" s="260">
        <f>'CDS-J'!C14</f>
        <v>0</v>
      </c>
      <c r="D790" s="17" t="s">
        <v>829</v>
      </c>
      <c r="E790" s="48">
        <v>45</v>
      </c>
      <c r="F790" s="17" t="s">
        <v>384</v>
      </c>
      <c r="G790" s="17"/>
    </row>
    <row r="791" spans="1:7" ht="17" x14ac:dyDescent="0.2">
      <c r="A791" s="44" t="s">
        <v>874</v>
      </c>
      <c r="B791" s="257" t="str" cm="1">
        <f t="array" aca="1" ref="B791" ca="1">IF(ISBLANK(INDIRECT(MID(_xlfn.FORMULATEXT(C791),2,LEN(_xlfn.FORMULATEXT(C791))-1)))=TRUE,"",C791)</f>
        <v/>
      </c>
      <c r="C791" s="260">
        <f>'CDS-J'!C15</f>
        <v>0</v>
      </c>
      <c r="D791" s="17" t="s">
        <v>829</v>
      </c>
      <c r="E791" s="48">
        <v>46</v>
      </c>
      <c r="F791" s="17" t="s">
        <v>384</v>
      </c>
      <c r="G791" s="17"/>
    </row>
    <row r="792" spans="1:7" ht="17" x14ac:dyDescent="0.2">
      <c r="A792" s="44" t="s">
        <v>875</v>
      </c>
      <c r="B792" s="257" t="str" cm="1">
        <f t="array" aca="1" ref="B792" ca="1">IF(ISBLANK(INDIRECT(MID(_xlfn.FORMULATEXT(C792),2,LEN(_xlfn.FORMULATEXT(C792))-1)))=TRUE,"",C792)</f>
        <v/>
      </c>
      <c r="C792" s="260">
        <f>'CDS-J'!C16</f>
        <v>0</v>
      </c>
      <c r="D792" s="17" t="s">
        <v>829</v>
      </c>
      <c r="E792" s="48">
        <v>47</v>
      </c>
      <c r="F792" s="17" t="s">
        <v>384</v>
      </c>
      <c r="G792" s="17"/>
    </row>
    <row r="793" spans="1:7" ht="17" x14ac:dyDescent="0.2">
      <c r="A793" s="44" t="s">
        <v>876</v>
      </c>
      <c r="B793" s="257" t="str" cm="1">
        <f t="array" aca="1" ref="B793" ca="1">IF(ISBLANK(INDIRECT(MID(_xlfn.FORMULATEXT(C793),2,LEN(_xlfn.FORMULATEXT(C793))-1)))=TRUE,"",C793)</f>
        <v/>
      </c>
      <c r="C793" s="260">
        <f>'CDS-J'!C17</f>
        <v>0</v>
      </c>
      <c r="D793" s="17" t="s">
        <v>829</v>
      </c>
      <c r="E793" s="48">
        <v>48</v>
      </c>
      <c r="F793" s="17" t="s">
        <v>384</v>
      </c>
      <c r="G793" s="17"/>
    </row>
    <row r="794" spans="1:7" ht="17" x14ac:dyDescent="0.2">
      <c r="A794" s="44" t="s">
        <v>877</v>
      </c>
      <c r="B794" s="257" t="str" cm="1">
        <f t="array" aca="1" ref="B794" ca="1">IF(ISBLANK(INDIRECT(MID(_xlfn.FORMULATEXT(C794),2,LEN(_xlfn.FORMULATEXT(C794))-1)))=TRUE,"",C794)</f>
        <v/>
      </c>
      <c r="C794" s="260">
        <f>'CDS-J'!C18</f>
        <v>0</v>
      </c>
      <c r="D794" s="17" t="s">
        <v>829</v>
      </c>
      <c r="E794" s="48">
        <v>49</v>
      </c>
      <c r="F794" s="17" t="s">
        <v>384</v>
      </c>
      <c r="G794" s="17"/>
    </row>
    <row r="795" spans="1:7" ht="17" x14ac:dyDescent="0.2">
      <c r="A795" s="44" t="s">
        <v>878</v>
      </c>
      <c r="B795" s="257" t="str" cm="1">
        <f t="array" aca="1" ref="B795" ca="1">IF(ISBLANK(INDIRECT(MID(_xlfn.FORMULATEXT(C795),2,LEN(_xlfn.FORMULATEXT(C795))-1)))=TRUE,"",C795)</f>
        <v/>
      </c>
      <c r="C795" s="260">
        <f>'CDS-J'!C19</f>
        <v>0</v>
      </c>
      <c r="D795" s="17" t="s">
        <v>829</v>
      </c>
      <c r="E795" s="48">
        <v>50</v>
      </c>
      <c r="F795" s="17" t="s">
        <v>384</v>
      </c>
      <c r="G795" s="17"/>
    </row>
    <row r="796" spans="1:7" ht="17" x14ac:dyDescent="0.2">
      <c r="A796" s="44" t="s">
        <v>879</v>
      </c>
      <c r="B796" s="257" t="str" cm="1">
        <f t="array" aca="1" ref="B796" ca="1">IF(ISBLANK(INDIRECT(MID(_xlfn.FORMULATEXT(C796),2,LEN(_xlfn.FORMULATEXT(C796))-1)))=TRUE,"",C796)</f>
        <v/>
      </c>
      <c r="C796" s="260">
        <f>'CDS-J'!C20</f>
        <v>0</v>
      </c>
      <c r="D796" s="17" t="s">
        <v>829</v>
      </c>
      <c r="E796" s="48">
        <v>51</v>
      </c>
      <c r="F796" s="17" t="s">
        <v>384</v>
      </c>
      <c r="G796" s="17"/>
    </row>
    <row r="797" spans="1:7" ht="17" x14ac:dyDescent="0.2">
      <c r="A797" s="44" t="s">
        <v>880</v>
      </c>
      <c r="B797" s="257" t="str" cm="1">
        <f t="array" aca="1" ref="B797" ca="1">IF(ISBLANK(INDIRECT(MID(_xlfn.FORMULATEXT(C797),2,LEN(_xlfn.FORMULATEXT(C797))-1)))=TRUE,"",C797)</f>
        <v/>
      </c>
      <c r="C797" s="260">
        <f>'CDS-J'!C21</f>
        <v>0</v>
      </c>
      <c r="D797" s="17" t="s">
        <v>829</v>
      </c>
      <c r="E797" s="48">
        <v>52</v>
      </c>
      <c r="F797" s="17" t="s">
        <v>384</v>
      </c>
      <c r="G797" s="17"/>
    </row>
    <row r="798" spans="1:7" ht="17" x14ac:dyDescent="0.2">
      <c r="A798" s="44" t="s">
        <v>881</v>
      </c>
      <c r="B798" s="257" t="str" cm="1">
        <f t="array" aca="1" ref="B798" ca="1">IF(ISBLANK(INDIRECT(MID(_xlfn.FORMULATEXT(C798),2,LEN(_xlfn.FORMULATEXT(C798))-1)))=TRUE,"",C798)</f>
        <v/>
      </c>
      <c r="C798" s="260">
        <f>'CDS-J'!C22</f>
        <v>0</v>
      </c>
      <c r="D798" s="17" t="s">
        <v>829</v>
      </c>
      <c r="E798" s="48">
        <v>53</v>
      </c>
      <c r="F798" s="17" t="s">
        <v>384</v>
      </c>
      <c r="G798" s="17"/>
    </row>
    <row r="799" spans="1:7" ht="17" x14ac:dyDescent="0.2">
      <c r="A799" s="44" t="s">
        <v>882</v>
      </c>
      <c r="B799" s="257" t="str" cm="1">
        <f t="array" aca="1" ref="B799" ca="1">IF(ISBLANK(INDIRECT(MID(_xlfn.FORMULATEXT(C799),2,LEN(_xlfn.FORMULATEXT(C799))-1)))=TRUE,"",C799)</f>
        <v/>
      </c>
      <c r="C799" s="260">
        <f>'CDS-J'!C23</f>
        <v>0</v>
      </c>
      <c r="D799" s="17" t="s">
        <v>829</v>
      </c>
      <c r="E799" s="48">
        <v>54</v>
      </c>
      <c r="F799" s="17" t="s">
        <v>384</v>
      </c>
      <c r="G799" s="17"/>
    </row>
    <row r="800" spans="1:7" ht="17" x14ac:dyDescent="0.2">
      <c r="A800" s="44" t="s">
        <v>883</v>
      </c>
      <c r="B800" s="257" t="str" cm="1">
        <f t="array" aca="1" ref="B800" ca="1">IF(ISBLANK(INDIRECT(MID(_xlfn.FORMULATEXT(C800),2,LEN(_xlfn.FORMULATEXT(C800))-1)))=TRUE,"",C800)</f>
        <v/>
      </c>
      <c r="C800" s="260">
        <f>'CDS-J'!C24</f>
        <v>0</v>
      </c>
      <c r="D800" s="17" t="s">
        <v>829</v>
      </c>
      <c r="E800" s="48">
        <v>55</v>
      </c>
      <c r="F800" s="17" t="s">
        <v>384</v>
      </c>
      <c r="G800" s="17"/>
    </row>
    <row r="801" spans="1:7" ht="17" x14ac:dyDescent="0.2">
      <c r="A801" s="44" t="s">
        <v>884</v>
      </c>
      <c r="B801" s="257" t="str" cm="1">
        <f t="array" aca="1" ref="B801" ca="1">IF(ISBLANK(INDIRECT(MID(_xlfn.FORMULATEXT(C801),2,LEN(_xlfn.FORMULATEXT(C801))-1)))=TRUE,"",C801)</f>
        <v/>
      </c>
      <c r="C801" s="260">
        <f>'CDS-J'!C25</f>
        <v>0</v>
      </c>
      <c r="D801" s="17" t="s">
        <v>829</v>
      </c>
      <c r="E801" s="48">
        <v>56</v>
      </c>
      <c r="F801" s="17" t="s">
        <v>384</v>
      </c>
      <c r="G801" s="17"/>
    </row>
    <row r="802" spans="1:7" ht="17" x14ac:dyDescent="0.2">
      <c r="A802" s="44" t="s">
        <v>885</v>
      </c>
      <c r="B802" s="257" t="str" cm="1">
        <f t="array" aca="1" ref="B802" ca="1">IF(ISBLANK(INDIRECT(MID(_xlfn.FORMULATEXT(C802),2,LEN(_xlfn.FORMULATEXT(C802))-1)))=TRUE,"",C802)</f>
        <v/>
      </c>
      <c r="C802" s="260">
        <f>'CDS-J'!C26</f>
        <v>0</v>
      </c>
      <c r="D802" s="17" t="s">
        <v>829</v>
      </c>
      <c r="E802" s="48">
        <v>57</v>
      </c>
      <c r="F802" s="17" t="s">
        <v>384</v>
      </c>
      <c r="G802" s="17"/>
    </row>
    <row r="803" spans="1:7" ht="17" x14ac:dyDescent="0.2">
      <c r="A803" s="44" t="s">
        <v>886</v>
      </c>
      <c r="B803" s="257" t="str" cm="1">
        <f t="array" aca="1" ref="B803" ca="1">IF(ISBLANK(INDIRECT(MID(_xlfn.FORMULATEXT(C803),2,LEN(_xlfn.FORMULATEXT(C803))-1)))=TRUE,"",C803)</f>
        <v/>
      </c>
      <c r="C803" s="260">
        <f>'CDS-J'!C27</f>
        <v>0</v>
      </c>
      <c r="D803" s="17" t="s">
        <v>829</v>
      </c>
      <c r="E803" s="48">
        <v>58</v>
      </c>
      <c r="F803" s="17" t="s">
        <v>384</v>
      </c>
      <c r="G803" s="17"/>
    </row>
    <row r="804" spans="1:7" ht="17" x14ac:dyDescent="0.2">
      <c r="A804" s="44" t="s">
        <v>887</v>
      </c>
      <c r="B804" s="257" t="str" cm="1">
        <f t="array" aca="1" ref="B804" ca="1">IF(ISBLANK(INDIRECT(MID(_xlfn.FORMULATEXT(C804),2,LEN(_xlfn.FORMULATEXT(C804))-1)))=TRUE,"",C804)</f>
        <v/>
      </c>
      <c r="C804" s="260">
        <f>'CDS-J'!C28</f>
        <v>0</v>
      </c>
      <c r="D804" s="17" t="s">
        <v>829</v>
      </c>
      <c r="E804" s="48">
        <v>59</v>
      </c>
      <c r="F804" s="17" t="s">
        <v>384</v>
      </c>
      <c r="G804" s="17"/>
    </row>
    <row r="805" spans="1:7" ht="17" x14ac:dyDescent="0.2">
      <c r="A805" s="44" t="s">
        <v>888</v>
      </c>
      <c r="B805" s="257" t="str" cm="1">
        <f t="array" aca="1" ref="B805" ca="1">IF(ISBLANK(INDIRECT(MID(_xlfn.FORMULATEXT(C805),2,LEN(_xlfn.FORMULATEXT(C805))-1)))=TRUE,"",C805)</f>
        <v/>
      </c>
      <c r="C805" s="260">
        <f>'CDS-J'!C29</f>
        <v>0</v>
      </c>
      <c r="D805" s="17" t="s">
        <v>829</v>
      </c>
      <c r="E805" s="48">
        <v>60</v>
      </c>
      <c r="F805" s="17" t="s">
        <v>384</v>
      </c>
      <c r="G805" s="17"/>
    </row>
    <row r="806" spans="1:7" ht="17" x14ac:dyDescent="0.2">
      <c r="A806" s="44" t="s">
        <v>889</v>
      </c>
      <c r="B806" s="257" t="str" cm="1">
        <f t="array" aca="1" ref="B806" ca="1">IF(ISBLANK(INDIRECT(MID(_xlfn.FORMULATEXT(C806),2,LEN(_xlfn.FORMULATEXT(C806))-1)))=TRUE,"",C806)</f>
        <v/>
      </c>
      <c r="C806" s="260">
        <f>'CDS-J'!C30</f>
        <v>0</v>
      </c>
      <c r="D806" s="17" t="s">
        <v>829</v>
      </c>
      <c r="E806" s="48">
        <v>61</v>
      </c>
      <c r="F806" s="17" t="s">
        <v>384</v>
      </c>
      <c r="G806" s="17"/>
    </row>
    <row r="807" spans="1:7" ht="17" x14ac:dyDescent="0.2">
      <c r="A807" s="44" t="s">
        <v>890</v>
      </c>
      <c r="B807" s="257" t="str" cm="1">
        <f t="array" aca="1" ref="B807" ca="1">IF(ISBLANK(INDIRECT(MID(_xlfn.FORMULATEXT(C807),2,LEN(_xlfn.FORMULATEXT(C807))-1)))=TRUE,"",C807)</f>
        <v/>
      </c>
      <c r="C807" s="260">
        <f>'CDS-J'!C31</f>
        <v>0</v>
      </c>
      <c r="D807" s="17" t="s">
        <v>829</v>
      </c>
      <c r="E807" s="48">
        <v>62</v>
      </c>
      <c r="F807" s="17" t="s">
        <v>384</v>
      </c>
      <c r="G807" s="17"/>
    </row>
    <row r="808" spans="1:7" ht="17" x14ac:dyDescent="0.2">
      <c r="A808" s="44" t="s">
        <v>891</v>
      </c>
      <c r="B808" s="257" t="str" cm="1">
        <f t="array" aca="1" ref="B808" ca="1">IF(ISBLANK(INDIRECT(MID(_xlfn.FORMULATEXT(C808),2,LEN(_xlfn.FORMULATEXT(C808))-1)))=TRUE,"",C808)</f>
        <v/>
      </c>
      <c r="C808" s="260">
        <f>'CDS-J'!C32</f>
        <v>0</v>
      </c>
      <c r="D808" s="17" t="s">
        <v>829</v>
      </c>
      <c r="E808" s="48">
        <v>63</v>
      </c>
      <c r="F808" s="17" t="s">
        <v>384</v>
      </c>
      <c r="G808" s="17"/>
    </row>
    <row r="809" spans="1:7" ht="17" x14ac:dyDescent="0.2">
      <c r="A809" s="44" t="s">
        <v>892</v>
      </c>
      <c r="B809" s="257" t="str" cm="1">
        <f t="array" aca="1" ref="B809" ca="1">IF(ISBLANK(INDIRECT(MID(_xlfn.FORMULATEXT(C809),2,LEN(_xlfn.FORMULATEXT(C809))-1)))=TRUE,"",C809)</f>
        <v/>
      </c>
      <c r="C809" s="260">
        <f>'CDS-J'!C33</f>
        <v>0</v>
      </c>
      <c r="D809" s="17" t="s">
        <v>829</v>
      </c>
      <c r="E809" s="48">
        <v>64</v>
      </c>
      <c r="F809" s="17" t="s">
        <v>384</v>
      </c>
      <c r="G809" s="17"/>
    </row>
    <row r="810" spans="1:7" ht="17" x14ac:dyDescent="0.2">
      <c r="A810" s="44" t="s">
        <v>893</v>
      </c>
      <c r="B810" s="257" t="str" cm="1">
        <f t="array" aca="1" ref="B810" ca="1">IF(ISBLANK(INDIRECT(MID(_xlfn.FORMULATEXT(C810),2,LEN(_xlfn.FORMULATEXT(C810))-1)))=TRUE,"",C810)</f>
        <v/>
      </c>
      <c r="C810" s="260">
        <f>'CDS-J'!C34</f>
        <v>0</v>
      </c>
      <c r="D810" s="17" t="s">
        <v>829</v>
      </c>
      <c r="E810" s="48">
        <v>65</v>
      </c>
      <c r="F810" s="17" t="s">
        <v>384</v>
      </c>
      <c r="G810" s="17"/>
    </row>
    <row r="811" spans="1:7" ht="17" x14ac:dyDescent="0.2">
      <c r="A811" s="44" t="s">
        <v>894</v>
      </c>
      <c r="B811" s="257" t="str" cm="1">
        <f t="array" aca="1" ref="B811" ca="1">IF(ISBLANK(INDIRECT(MID(_xlfn.FORMULATEXT(C811),2,LEN(_xlfn.FORMULATEXT(C811))-1)))=TRUE,"",C811)</f>
        <v/>
      </c>
      <c r="C811" s="260">
        <f>'CDS-J'!C35</f>
        <v>0</v>
      </c>
      <c r="D811" s="17" t="s">
        <v>829</v>
      </c>
      <c r="E811" s="48">
        <v>66</v>
      </c>
      <c r="F811" s="17" t="s">
        <v>384</v>
      </c>
      <c r="G811" s="17"/>
    </row>
    <row r="812" spans="1:7" ht="17" x14ac:dyDescent="0.2">
      <c r="A812" s="44" t="s">
        <v>895</v>
      </c>
      <c r="B812" s="257" t="str" cm="1">
        <f t="array" aca="1" ref="B812" ca="1">IF(ISBLANK(INDIRECT(MID(_xlfn.FORMULATEXT(C812),2,LEN(_xlfn.FORMULATEXT(C812))-1)))=TRUE,"",C812)</f>
        <v/>
      </c>
      <c r="C812" s="260">
        <f>'CDS-J'!C36</f>
        <v>0</v>
      </c>
      <c r="D812" s="17" t="s">
        <v>829</v>
      </c>
      <c r="E812" s="48">
        <v>67</v>
      </c>
      <c r="F812" s="17" t="s">
        <v>384</v>
      </c>
      <c r="G812" s="17"/>
    </row>
    <row r="813" spans="1:7" ht="17" x14ac:dyDescent="0.2">
      <c r="A813" s="44" t="s">
        <v>896</v>
      </c>
      <c r="B813" s="257" t="str" cm="1">
        <f t="array" aca="1" ref="B813" ca="1">IF(ISBLANK(INDIRECT(MID(_xlfn.FORMULATEXT(C813),2,LEN(_xlfn.FORMULATEXT(C813))-1)))=TRUE,"",C813)</f>
        <v/>
      </c>
      <c r="C813" s="260">
        <f>'CDS-J'!C37</f>
        <v>0</v>
      </c>
      <c r="D813" s="17" t="s">
        <v>829</v>
      </c>
      <c r="E813" s="48">
        <v>68</v>
      </c>
      <c r="F813" s="17" t="s">
        <v>384</v>
      </c>
      <c r="G813" s="17"/>
    </row>
    <row r="814" spans="1:7" ht="17" x14ac:dyDescent="0.2">
      <c r="A814" s="44" t="s">
        <v>897</v>
      </c>
      <c r="B814" s="257" t="str" cm="1">
        <f t="array" aca="1" ref="B814" ca="1">IF(ISBLANK(INDIRECT(MID(_xlfn.FORMULATEXT(C814),2,LEN(_xlfn.FORMULATEXT(C814))-1)))=TRUE,"",C814)</f>
        <v/>
      </c>
      <c r="C814" s="260">
        <f>'CDS-J'!C38</f>
        <v>0</v>
      </c>
      <c r="D814" s="17" t="s">
        <v>829</v>
      </c>
      <c r="E814" s="48">
        <v>69</v>
      </c>
      <c r="F814" s="17" t="s">
        <v>384</v>
      </c>
      <c r="G814" s="17"/>
    </row>
    <row r="815" spans="1:7" ht="17" x14ac:dyDescent="0.2">
      <c r="A815" s="44" t="s">
        <v>898</v>
      </c>
      <c r="B815" s="257" t="str" cm="1">
        <f t="array" aca="1" ref="B815" ca="1">IF(ISBLANK(INDIRECT(MID(_xlfn.FORMULATEXT(C815),2,LEN(_xlfn.FORMULATEXT(C815))-1)))=TRUE,"",C815)</f>
        <v/>
      </c>
      <c r="C815" s="260">
        <f>'CDS-J'!C39</f>
        <v>0</v>
      </c>
      <c r="D815" s="17" t="s">
        <v>829</v>
      </c>
      <c r="E815" s="48">
        <v>70</v>
      </c>
      <c r="F815" s="17" t="s">
        <v>384</v>
      </c>
      <c r="G815" s="17"/>
    </row>
    <row r="816" spans="1:7" ht="17" x14ac:dyDescent="0.2">
      <c r="A816" s="44" t="s">
        <v>899</v>
      </c>
      <c r="B816" s="257" t="str" cm="1">
        <f t="array" aca="1" ref="B816" ca="1">IF(ISBLANK(INDIRECT(MID(_xlfn.FORMULATEXT(C816),2,LEN(_xlfn.FORMULATEXT(C816))-1)))=TRUE,"",C816)</f>
        <v/>
      </c>
      <c r="C816" s="260">
        <f>'CDS-J'!C40</f>
        <v>0</v>
      </c>
      <c r="D816" s="17" t="s">
        <v>829</v>
      </c>
      <c r="E816" s="48">
        <v>71</v>
      </c>
      <c r="F816" s="17" t="s">
        <v>384</v>
      </c>
      <c r="G816" s="17"/>
    </row>
    <row r="817" spans="1:7" ht="17" x14ac:dyDescent="0.2">
      <c r="A817" s="44" t="s">
        <v>900</v>
      </c>
      <c r="B817" s="257" t="str" cm="1">
        <f t="array" aca="1" ref="B817" ca="1">IF(ISBLANK(INDIRECT(MID(_xlfn.FORMULATEXT(C817),2,LEN(_xlfn.FORMULATEXT(C817))-1)))=TRUE,"",C817)</f>
        <v/>
      </c>
      <c r="C817" s="260">
        <f>'CDS-J'!C41</f>
        <v>0</v>
      </c>
      <c r="D817" s="17" t="s">
        <v>829</v>
      </c>
      <c r="E817" s="48">
        <v>72</v>
      </c>
      <c r="F817" s="17" t="s">
        <v>384</v>
      </c>
      <c r="G817" s="17"/>
    </row>
    <row r="818" spans="1:7" ht="17" x14ac:dyDescent="0.2">
      <c r="A818" s="44" t="s">
        <v>901</v>
      </c>
      <c r="B818" s="257" t="str" cm="1">
        <f t="array" aca="1" ref="B818" ca="1">IF(ISBLANK(INDIRECT(MID(_xlfn.FORMULATEXT(C818),2,LEN(_xlfn.FORMULATEXT(C818))-1)))=TRUE,"",C818)</f>
        <v/>
      </c>
      <c r="C818" s="260">
        <f>'CDS-J'!C42</f>
        <v>0</v>
      </c>
      <c r="D818" s="17" t="s">
        <v>829</v>
      </c>
      <c r="E818" s="48">
        <v>73</v>
      </c>
      <c r="F818" s="17" t="s">
        <v>384</v>
      </c>
      <c r="G818" s="17"/>
    </row>
    <row r="819" spans="1:7" ht="17" x14ac:dyDescent="0.2">
      <c r="A819" s="44" t="s">
        <v>902</v>
      </c>
      <c r="B819" s="257" t="str" cm="1">
        <f t="array" aca="1" ref="B819" ca="1">IF(ISBLANK(INDIRECT(MID(_xlfn.FORMULATEXT(C819),2,LEN(_xlfn.FORMULATEXT(C819))-1)))=TRUE,"",C819)</f>
        <v/>
      </c>
      <c r="C819" s="260">
        <f>'CDS-J'!C43</f>
        <v>0</v>
      </c>
      <c r="D819" s="17" t="s">
        <v>829</v>
      </c>
      <c r="E819" s="48">
        <v>74</v>
      </c>
      <c r="F819" s="17" t="s">
        <v>384</v>
      </c>
      <c r="G819" s="17"/>
    </row>
    <row r="820" spans="1:7" ht="17" x14ac:dyDescent="0.2">
      <c r="A820" s="44" t="s">
        <v>903</v>
      </c>
      <c r="B820" s="257" t="str" cm="1">
        <f t="array" aca="1" ref="B820" ca="1">IF(ISBLANK(INDIRECT(MID(_xlfn.FORMULATEXT(C820),2,LEN(_xlfn.FORMULATEXT(C820))-1)))=TRUE,"",C820)</f>
        <v/>
      </c>
      <c r="C820" s="260">
        <f>'CDS-J'!C44</f>
        <v>0</v>
      </c>
      <c r="D820" s="17" t="s">
        <v>829</v>
      </c>
      <c r="E820" s="48">
        <v>75</v>
      </c>
      <c r="F820" s="17" t="s">
        <v>384</v>
      </c>
      <c r="G820" s="17"/>
    </row>
    <row r="821" spans="1:7" ht="17" x14ac:dyDescent="0.2">
      <c r="A821" s="44" t="s">
        <v>904</v>
      </c>
      <c r="B821" s="257" t="str" cm="1">
        <f t="array" aca="1" ref="B821" ca="1">IF(ISBLANK(INDIRECT(MID(_xlfn.FORMULATEXT(C821),2,LEN(_xlfn.FORMULATEXT(C821))-1)))=TRUE,"",C821)</f>
        <v/>
      </c>
      <c r="C821" s="260">
        <f>'CDS-J'!C45</f>
        <v>0</v>
      </c>
      <c r="D821" s="17" t="s">
        <v>829</v>
      </c>
      <c r="E821" s="48">
        <v>76</v>
      </c>
      <c r="F821" s="17" t="s">
        <v>384</v>
      </c>
      <c r="G821" s="17"/>
    </row>
    <row r="822" spans="1:7" ht="17" x14ac:dyDescent="0.2">
      <c r="A822" s="44" t="s">
        <v>905</v>
      </c>
      <c r="B822" s="257" t="str" cm="1">
        <f t="array" aca="1" ref="B822" ca="1">IF(ISBLANK(INDIRECT(MID(_xlfn.FORMULATEXT(C822),2,LEN(_xlfn.FORMULATEXT(C822))-1)))=TRUE,"",C822)</f>
        <v/>
      </c>
      <c r="C822" s="260">
        <f>'CDS-J'!C46</f>
        <v>0</v>
      </c>
      <c r="D822" s="17" t="s">
        <v>829</v>
      </c>
      <c r="E822" s="48">
        <v>77</v>
      </c>
      <c r="F822" s="17" t="s">
        <v>384</v>
      </c>
      <c r="G822" s="17"/>
    </row>
    <row r="823" spans="1:7" ht="17" x14ac:dyDescent="0.2">
      <c r="A823" s="44" t="s">
        <v>906</v>
      </c>
      <c r="B823" s="257" t="str" cm="1">
        <f t="array" aca="1" ref="B823" ca="1">IF(ISBLANK(INDIRECT(MID(_xlfn.FORMULATEXT(C823),2,LEN(_xlfn.FORMULATEXT(C823))-1)))=TRUE,"",C823)</f>
        <v/>
      </c>
      <c r="C823" s="260">
        <f>'CDS-J'!C47</f>
        <v>0</v>
      </c>
      <c r="D823" s="17" t="s">
        <v>829</v>
      </c>
      <c r="E823" s="48">
        <v>78</v>
      </c>
      <c r="F823" s="17" t="s">
        <v>384</v>
      </c>
      <c r="G823" s="17"/>
    </row>
    <row r="824" spans="1:7" x14ac:dyDescent="0.2">
      <c r="A824" s="44" t="s">
        <v>907</v>
      </c>
      <c r="B824" s="257" cm="1">
        <f t="array" aca="1" ref="B824" ca="1">IF(ISBLANK(INDIRECT(MID(_xlfn.FORMULATEXT(C824),2,LEN(_xlfn.FORMULATEXT(C824))-1)))=TRUE,"",C824)</f>
        <v>0</v>
      </c>
      <c r="C824" s="260">
        <f>'CDS-J'!D9</f>
        <v>0</v>
      </c>
      <c r="D824" s="17" t="s">
        <v>829</v>
      </c>
      <c r="E824" s="48">
        <v>79</v>
      </c>
      <c r="F824" s="17" t="s">
        <v>384</v>
      </c>
      <c r="G824" s="17"/>
    </row>
    <row r="825" spans="1:7" x14ac:dyDescent="0.2">
      <c r="A825" s="44" t="s">
        <v>908</v>
      </c>
      <c r="B825" s="257" cm="1">
        <f t="array" aca="1" ref="B825" ca="1">IF(ISBLANK(INDIRECT(MID(_xlfn.FORMULATEXT(C825),2,LEN(_xlfn.FORMULATEXT(C825))-1)))=TRUE,"",C825)</f>
        <v>0</v>
      </c>
      <c r="C825" s="260">
        <f>'CDS-J'!D10</f>
        <v>0</v>
      </c>
      <c r="D825" s="17" t="s">
        <v>829</v>
      </c>
      <c r="E825" s="48">
        <v>80</v>
      </c>
      <c r="F825" s="17" t="s">
        <v>384</v>
      </c>
      <c r="G825" s="17"/>
    </row>
    <row r="826" spans="1:7" x14ac:dyDescent="0.2">
      <c r="A826" s="44" t="s">
        <v>909</v>
      </c>
      <c r="B826" s="257" cm="1">
        <f t="array" aca="1" ref="B826" ca="1">IF(ISBLANK(INDIRECT(MID(_xlfn.FORMULATEXT(C826),2,LEN(_xlfn.FORMULATEXT(C826))-1)))=TRUE,"",C826)</f>
        <v>0</v>
      </c>
      <c r="C826" s="260">
        <f>'CDS-J'!D11</f>
        <v>0</v>
      </c>
      <c r="D826" s="17" t="s">
        <v>829</v>
      </c>
      <c r="E826" s="48">
        <v>81</v>
      </c>
      <c r="F826" s="17" t="s">
        <v>384</v>
      </c>
      <c r="G826" s="17"/>
    </row>
    <row r="827" spans="1:7" x14ac:dyDescent="0.2">
      <c r="A827" s="44" t="s">
        <v>910</v>
      </c>
      <c r="B827" s="257" cm="1">
        <f t="array" aca="1" ref="B827" ca="1">IF(ISBLANK(INDIRECT(MID(_xlfn.FORMULATEXT(C827),2,LEN(_xlfn.FORMULATEXT(C827))-1)))=TRUE,"",C827)</f>
        <v>0.5</v>
      </c>
      <c r="C827" s="260">
        <f>'CDS-J'!D12</f>
        <v>0.5</v>
      </c>
      <c r="D827" s="17" t="s">
        <v>829</v>
      </c>
      <c r="E827" s="48">
        <v>82</v>
      </c>
      <c r="F827" s="17" t="s">
        <v>384</v>
      </c>
      <c r="G827" s="17"/>
    </row>
    <row r="828" spans="1:7" x14ac:dyDescent="0.2">
      <c r="A828" s="44" t="s">
        <v>911</v>
      </c>
      <c r="B828" s="257" cm="1">
        <f t="array" aca="1" ref="B828" ca="1">IF(ISBLANK(INDIRECT(MID(_xlfn.FORMULATEXT(C828),2,LEN(_xlfn.FORMULATEXT(C828))-1)))=TRUE,"",C828)</f>
        <v>4</v>
      </c>
      <c r="C828" s="260">
        <f>'CDS-J'!D13</f>
        <v>4</v>
      </c>
      <c r="D828" s="17" t="s">
        <v>829</v>
      </c>
      <c r="E828" s="48">
        <v>83</v>
      </c>
      <c r="F828" s="17" t="s">
        <v>384</v>
      </c>
      <c r="G828" s="17"/>
    </row>
    <row r="829" spans="1:7" x14ac:dyDescent="0.2">
      <c r="A829" s="44" t="s">
        <v>912</v>
      </c>
      <c r="B829" s="257" cm="1">
        <f t="array" aca="1" ref="B829" ca="1">IF(ISBLANK(INDIRECT(MID(_xlfn.FORMULATEXT(C829),2,LEN(_xlfn.FORMULATEXT(C829))-1)))=TRUE,"",C829)</f>
        <v>0</v>
      </c>
      <c r="C829" s="260">
        <f>'CDS-J'!D14</f>
        <v>0</v>
      </c>
      <c r="D829" s="17" t="s">
        <v>829</v>
      </c>
      <c r="E829" s="48">
        <v>84</v>
      </c>
      <c r="F829" s="17" t="s">
        <v>384</v>
      </c>
      <c r="G829" s="17"/>
    </row>
    <row r="830" spans="1:7" x14ac:dyDescent="0.2">
      <c r="A830" s="44" t="s">
        <v>913</v>
      </c>
      <c r="B830" s="257" cm="1">
        <f t="array" aca="1" ref="B830" ca="1">IF(ISBLANK(INDIRECT(MID(_xlfn.FORMULATEXT(C830),2,LEN(_xlfn.FORMULATEXT(C830))-1)))=TRUE,"",C830)</f>
        <v>5.5</v>
      </c>
      <c r="C830" s="260">
        <f>'CDS-J'!D15</f>
        <v>5.5</v>
      </c>
      <c r="D830" s="17" t="s">
        <v>829</v>
      </c>
      <c r="E830" s="48">
        <v>85</v>
      </c>
      <c r="F830" s="17" t="s">
        <v>384</v>
      </c>
      <c r="G830" s="17"/>
    </row>
    <row r="831" spans="1:7" x14ac:dyDescent="0.2">
      <c r="A831" s="44" t="s">
        <v>914</v>
      </c>
      <c r="B831" s="257" cm="1">
        <f t="array" aca="1" ref="B831" ca="1">IF(ISBLANK(INDIRECT(MID(_xlfn.FORMULATEXT(C831),2,LEN(_xlfn.FORMULATEXT(C831))-1)))=TRUE,"",C831)</f>
        <v>0</v>
      </c>
      <c r="C831" s="260">
        <f>'CDS-J'!D16</f>
        <v>0</v>
      </c>
      <c r="D831" s="17" t="s">
        <v>829</v>
      </c>
      <c r="E831" s="48">
        <v>86</v>
      </c>
      <c r="F831" s="17" t="s">
        <v>384</v>
      </c>
      <c r="G831" s="17"/>
    </row>
    <row r="832" spans="1:7" x14ac:dyDescent="0.2">
      <c r="A832" s="44" t="s">
        <v>915</v>
      </c>
      <c r="B832" s="257" cm="1">
        <f t="array" aca="1" ref="B832" ca="1">IF(ISBLANK(INDIRECT(MID(_xlfn.FORMULATEXT(C832),2,LEN(_xlfn.FORMULATEXT(C832))-1)))=TRUE,"",C832)</f>
        <v>0</v>
      </c>
      <c r="C832" s="260">
        <f>'CDS-J'!D17</f>
        <v>0</v>
      </c>
      <c r="D832" s="17" t="s">
        <v>829</v>
      </c>
      <c r="E832" s="48">
        <v>87</v>
      </c>
      <c r="F832" s="17" t="s">
        <v>384</v>
      </c>
      <c r="G832" s="17"/>
    </row>
    <row r="833" spans="1:7" x14ac:dyDescent="0.2">
      <c r="A833" s="44" t="s">
        <v>916</v>
      </c>
      <c r="B833" s="257" cm="1">
        <f t="array" aca="1" ref="B833" ca="1">IF(ISBLANK(INDIRECT(MID(_xlfn.FORMULATEXT(C833),2,LEN(_xlfn.FORMULATEXT(C833))-1)))=TRUE,"",C833)</f>
        <v>0</v>
      </c>
      <c r="C833" s="260">
        <f>'CDS-J'!D18</f>
        <v>0</v>
      </c>
      <c r="D833" s="17" t="s">
        <v>829</v>
      </c>
      <c r="E833" s="48">
        <v>88</v>
      </c>
      <c r="F833" s="17" t="s">
        <v>384</v>
      </c>
      <c r="G833" s="17"/>
    </row>
    <row r="834" spans="1:7" x14ac:dyDescent="0.2">
      <c r="A834" s="44" t="s">
        <v>917</v>
      </c>
      <c r="B834" s="257" cm="1">
        <f t="array" aca="1" ref="B834" ca="1">IF(ISBLANK(INDIRECT(MID(_xlfn.FORMULATEXT(C834),2,LEN(_xlfn.FORMULATEXT(C834))-1)))=TRUE,"",C834)</f>
        <v>0</v>
      </c>
      <c r="C834" s="260">
        <f>'CDS-J'!D19</f>
        <v>0</v>
      </c>
      <c r="D834" s="17" t="s">
        <v>829</v>
      </c>
      <c r="E834" s="48">
        <v>89</v>
      </c>
      <c r="F834" s="17" t="s">
        <v>384</v>
      </c>
      <c r="G834" s="17"/>
    </row>
    <row r="835" spans="1:7" x14ac:dyDescent="0.2">
      <c r="A835" s="44" t="s">
        <v>918</v>
      </c>
      <c r="B835" s="257" cm="1">
        <f t="array" aca="1" ref="B835" ca="1">IF(ISBLANK(INDIRECT(MID(_xlfn.FORMULATEXT(C835),2,LEN(_xlfn.FORMULATEXT(C835))-1)))=TRUE,"",C835)</f>
        <v>2.1</v>
      </c>
      <c r="C835" s="260">
        <f>'CDS-J'!D20</f>
        <v>2.1</v>
      </c>
      <c r="D835" s="17" t="s">
        <v>829</v>
      </c>
      <c r="E835" s="48">
        <v>90</v>
      </c>
      <c r="F835" s="17" t="s">
        <v>384</v>
      </c>
      <c r="G835" s="17"/>
    </row>
    <row r="836" spans="1:7" x14ac:dyDescent="0.2">
      <c r="A836" s="44" t="s">
        <v>919</v>
      </c>
      <c r="B836" s="257" cm="1">
        <f t="array" aca="1" ref="B836" ca="1">IF(ISBLANK(INDIRECT(MID(_xlfn.FORMULATEXT(C836),2,LEN(_xlfn.FORMULATEXT(C836))-1)))=TRUE,"",C836)</f>
        <v>0</v>
      </c>
      <c r="C836" s="260">
        <f>'CDS-J'!D21</f>
        <v>0</v>
      </c>
      <c r="D836" s="17" t="s">
        <v>829</v>
      </c>
      <c r="E836" s="48">
        <v>91</v>
      </c>
      <c r="F836" s="17" t="s">
        <v>384</v>
      </c>
      <c r="G836" s="17"/>
    </row>
    <row r="837" spans="1:7" x14ac:dyDescent="0.2">
      <c r="A837" s="44" t="s">
        <v>920</v>
      </c>
      <c r="B837" s="257" cm="1">
        <f t="array" aca="1" ref="B837" ca="1">IF(ISBLANK(INDIRECT(MID(_xlfn.FORMULATEXT(C837),2,LEN(_xlfn.FORMULATEXT(C837))-1)))=TRUE,"",C837)</f>
        <v>0</v>
      </c>
      <c r="C837" s="260">
        <f>'CDS-J'!D22</f>
        <v>0</v>
      </c>
      <c r="D837" s="17" t="s">
        <v>829</v>
      </c>
      <c r="E837" s="48">
        <v>92</v>
      </c>
      <c r="F837" s="17" t="s">
        <v>384</v>
      </c>
      <c r="G837" s="17"/>
    </row>
    <row r="838" spans="1:7" x14ac:dyDescent="0.2">
      <c r="A838" s="44" t="s">
        <v>921</v>
      </c>
      <c r="B838" s="257" cm="1">
        <f t="array" aca="1" ref="B838" ca="1">IF(ISBLANK(INDIRECT(MID(_xlfn.FORMULATEXT(C838),2,LEN(_xlfn.FORMULATEXT(C838))-1)))=TRUE,"",C838)</f>
        <v>4.7</v>
      </c>
      <c r="C838" s="260">
        <f>'CDS-J'!D23</f>
        <v>4.7</v>
      </c>
      <c r="D838" s="17" t="s">
        <v>829</v>
      </c>
      <c r="E838" s="48">
        <v>93</v>
      </c>
      <c r="F838" s="17" t="s">
        <v>384</v>
      </c>
      <c r="G838" s="17"/>
    </row>
    <row r="839" spans="1:7" x14ac:dyDescent="0.2">
      <c r="A839" s="44" t="s">
        <v>922</v>
      </c>
      <c r="B839" s="257" cm="1">
        <f t="array" aca="1" ref="B839" ca="1">IF(ISBLANK(INDIRECT(MID(_xlfn.FORMULATEXT(C839),2,LEN(_xlfn.FORMULATEXT(C839))-1)))=TRUE,"",C839)</f>
        <v>0</v>
      </c>
      <c r="C839" s="260">
        <f>'CDS-J'!D24</f>
        <v>0</v>
      </c>
      <c r="D839" s="17" t="s">
        <v>829</v>
      </c>
      <c r="E839" s="48">
        <v>94</v>
      </c>
      <c r="F839" s="17" t="s">
        <v>384</v>
      </c>
      <c r="G839" s="17"/>
    </row>
    <row r="840" spans="1:7" x14ac:dyDescent="0.2">
      <c r="A840" s="44" t="s">
        <v>923</v>
      </c>
      <c r="B840" s="257" cm="1">
        <f t="array" aca="1" ref="B840" ca="1">IF(ISBLANK(INDIRECT(MID(_xlfn.FORMULATEXT(C840),2,LEN(_xlfn.FORMULATEXT(C840))-1)))=TRUE,"",C840)</f>
        <v>0</v>
      </c>
      <c r="C840" s="260">
        <f>'CDS-J'!D25</f>
        <v>0</v>
      </c>
      <c r="D840" s="17" t="s">
        <v>829</v>
      </c>
      <c r="E840" s="48">
        <v>95</v>
      </c>
      <c r="F840" s="17" t="s">
        <v>384</v>
      </c>
      <c r="G840" s="17"/>
    </row>
    <row r="841" spans="1:7" x14ac:dyDescent="0.2">
      <c r="A841" s="44" t="s">
        <v>924</v>
      </c>
      <c r="B841" s="257" cm="1">
        <f t="array" aca="1" ref="B841" ca="1">IF(ISBLANK(INDIRECT(MID(_xlfn.FORMULATEXT(C841),2,LEN(_xlfn.FORMULATEXT(C841))-1)))=TRUE,"",C841)</f>
        <v>19</v>
      </c>
      <c r="C841" s="260">
        <f>'CDS-J'!D26</f>
        <v>19</v>
      </c>
      <c r="D841" s="17" t="s">
        <v>829</v>
      </c>
      <c r="E841" s="48">
        <v>96</v>
      </c>
      <c r="F841" s="17" t="s">
        <v>384</v>
      </c>
      <c r="G841" s="17"/>
    </row>
    <row r="842" spans="1:7" x14ac:dyDescent="0.2">
      <c r="A842" s="44" t="s">
        <v>925</v>
      </c>
      <c r="B842" s="257" cm="1">
        <f t="array" aca="1" ref="B842" ca="1">IF(ISBLANK(INDIRECT(MID(_xlfn.FORMULATEXT(C842),2,LEN(_xlfn.FORMULATEXT(C842))-1)))=TRUE,"",C842)</f>
        <v>1.4</v>
      </c>
      <c r="C842" s="260">
        <f>'CDS-J'!D27</f>
        <v>1.4</v>
      </c>
      <c r="D842" s="17" t="s">
        <v>829</v>
      </c>
      <c r="E842" s="48">
        <v>97</v>
      </c>
      <c r="F842" s="17" t="s">
        <v>384</v>
      </c>
      <c r="G842" s="17"/>
    </row>
    <row r="843" spans="1:7" x14ac:dyDescent="0.2">
      <c r="A843" s="44" t="s">
        <v>926</v>
      </c>
      <c r="B843" s="257" cm="1">
        <f t="array" aca="1" ref="B843" ca="1">IF(ISBLANK(INDIRECT(MID(_xlfn.FORMULATEXT(C843),2,LEN(_xlfn.FORMULATEXT(C843))-1)))=TRUE,"",C843)</f>
        <v>0</v>
      </c>
      <c r="C843" s="260">
        <f>'CDS-J'!D28</f>
        <v>0</v>
      </c>
      <c r="D843" s="17" t="s">
        <v>829</v>
      </c>
      <c r="E843" s="48">
        <v>98</v>
      </c>
      <c r="F843" s="17" t="s">
        <v>384</v>
      </c>
      <c r="G843" s="17"/>
    </row>
    <row r="844" spans="1:7" x14ac:dyDescent="0.2">
      <c r="A844" s="44" t="s">
        <v>927</v>
      </c>
      <c r="B844" s="257" cm="1">
        <f t="array" aca="1" ref="B844" ca="1">IF(ISBLANK(INDIRECT(MID(_xlfn.FORMULATEXT(C844),2,LEN(_xlfn.FORMULATEXT(C844))-1)))=TRUE,"",C844)</f>
        <v>12.1</v>
      </c>
      <c r="C844" s="260">
        <f>'CDS-J'!D29</f>
        <v>12.1</v>
      </c>
      <c r="D844" s="17" t="s">
        <v>829</v>
      </c>
      <c r="E844" s="48">
        <v>99</v>
      </c>
      <c r="F844" s="17" t="s">
        <v>384</v>
      </c>
      <c r="G844" s="17"/>
    </row>
    <row r="845" spans="1:7" x14ac:dyDescent="0.2">
      <c r="A845" s="44" t="s">
        <v>928</v>
      </c>
      <c r="B845" s="257" cm="1">
        <f t="array" aca="1" ref="B845" ca="1">IF(ISBLANK(INDIRECT(MID(_xlfn.FORMULATEXT(C845),2,LEN(_xlfn.FORMULATEXT(C845))-1)))=TRUE,"",C845)</f>
        <v>0</v>
      </c>
      <c r="C845" s="260">
        <f>'CDS-J'!D30</f>
        <v>0</v>
      </c>
      <c r="D845" s="17" t="s">
        <v>829</v>
      </c>
      <c r="E845" s="48">
        <v>100</v>
      </c>
      <c r="F845" s="17" t="s">
        <v>384</v>
      </c>
      <c r="G845" s="17"/>
    </row>
    <row r="846" spans="1:7" x14ac:dyDescent="0.2">
      <c r="A846" s="44" t="s">
        <v>929</v>
      </c>
      <c r="B846" s="257" cm="1">
        <f t="array" aca="1" ref="B846" ca="1">IF(ISBLANK(INDIRECT(MID(_xlfn.FORMULATEXT(C846),2,LEN(_xlfn.FORMULATEXT(C846))-1)))=TRUE,"",C846)</f>
        <v>1.4</v>
      </c>
      <c r="C846" s="260">
        <f>'CDS-J'!D31</f>
        <v>1.4</v>
      </c>
      <c r="D846" s="17" t="s">
        <v>829</v>
      </c>
      <c r="E846" s="48">
        <v>101</v>
      </c>
      <c r="F846" s="17" t="s">
        <v>384</v>
      </c>
      <c r="G846" s="17"/>
    </row>
    <row r="847" spans="1:7" x14ac:dyDescent="0.2">
      <c r="A847" s="44" t="s">
        <v>930</v>
      </c>
      <c r="B847" s="257" cm="1">
        <f t="array" aca="1" ref="B847" ca="1">IF(ISBLANK(INDIRECT(MID(_xlfn.FORMULATEXT(C847),2,LEN(_xlfn.FORMULATEXT(C847))-1)))=TRUE,"",C847)</f>
        <v>0</v>
      </c>
      <c r="C847" s="260">
        <f>'CDS-J'!D32</f>
        <v>0</v>
      </c>
      <c r="D847" s="17" t="s">
        <v>829</v>
      </c>
      <c r="E847" s="48">
        <v>102</v>
      </c>
      <c r="F847" s="17" t="s">
        <v>384</v>
      </c>
      <c r="G847" s="17"/>
    </row>
    <row r="848" spans="1:7" x14ac:dyDescent="0.2">
      <c r="A848" s="44" t="s">
        <v>931</v>
      </c>
      <c r="B848" s="257" cm="1">
        <f t="array" aca="1" ref="B848" ca="1">IF(ISBLANK(INDIRECT(MID(_xlfn.FORMULATEXT(C848),2,LEN(_xlfn.FORMULATEXT(C848))-1)))=TRUE,"",C848)</f>
        <v>6.4</v>
      </c>
      <c r="C848" s="260">
        <f>'CDS-J'!D33</f>
        <v>6.4</v>
      </c>
      <c r="D848" s="17" t="s">
        <v>829</v>
      </c>
      <c r="E848" s="48">
        <v>103</v>
      </c>
      <c r="F848" s="17" t="s">
        <v>384</v>
      </c>
      <c r="G848" s="17"/>
    </row>
    <row r="849" spans="1:7" x14ac:dyDescent="0.2">
      <c r="A849" s="44" t="s">
        <v>932</v>
      </c>
      <c r="B849" s="257" cm="1">
        <f t="array" aca="1" ref="B849" ca="1">IF(ISBLANK(INDIRECT(MID(_xlfn.FORMULATEXT(C849),2,LEN(_xlfn.FORMULATEXT(C849))-1)))=TRUE,"",C849)</f>
        <v>0</v>
      </c>
      <c r="C849" s="260">
        <f>'CDS-J'!D34</f>
        <v>0</v>
      </c>
      <c r="D849" s="17" t="s">
        <v>829</v>
      </c>
      <c r="E849" s="48">
        <v>104</v>
      </c>
      <c r="F849" s="17" t="s">
        <v>384</v>
      </c>
      <c r="G849" s="17"/>
    </row>
    <row r="850" spans="1:7" x14ac:dyDescent="0.2">
      <c r="A850" s="44" t="s">
        <v>933</v>
      </c>
      <c r="B850" s="257" cm="1">
        <f t="array" aca="1" ref="B850" ca="1">IF(ISBLANK(INDIRECT(MID(_xlfn.FORMULATEXT(C850),2,LEN(_xlfn.FORMULATEXT(C850))-1)))=TRUE,"",C850)</f>
        <v>8.1</v>
      </c>
      <c r="C850" s="260">
        <f>'CDS-J'!D35</f>
        <v>8.1</v>
      </c>
      <c r="D850" s="17" t="s">
        <v>829</v>
      </c>
      <c r="E850" s="48">
        <v>105</v>
      </c>
      <c r="F850" s="17" t="s">
        <v>384</v>
      </c>
      <c r="G850" s="17"/>
    </row>
    <row r="851" spans="1:7" x14ac:dyDescent="0.2">
      <c r="A851" s="44" t="s">
        <v>934</v>
      </c>
      <c r="B851" s="257" cm="1">
        <f t="array" aca="1" ref="B851" ca="1">IF(ISBLANK(INDIRECT(MID(_xlfn.FORMULATEXT(C851),2,LEN(_xlfn.FORMULATEXT(C851))-1)))=TRUE,"",C851)</f>
        <v>0</v>
      </c>
      <c r="C851" s="260">
        <f>'CDS-J'!D36</f>
        <v>0</v>
      </c>
      <c r="D851" s="17" t="s">
        <v>829</v>
      </c>
      <c r="E851" s="48">
        <v>106</v>
      </c>
      <c r="F851" s="17" t="s">
        <v>384</v>
      </c>
      <c r="G851" s="17"/>
    </row>
    <row r="852" spans="1:7" x14ac:dyDescent="0.2">
      <c r="A852" s="44" t="s">
        <v>935</v>
      </c>
      <c r="B852" s="257" cm="1">
        <f t="array" aca="1" ref="B852" ca="1">IF(ISBLANK(INDIRECT(MID(_xlfn.FORMULATEXT(C852),2,LEN(_xlfn.FORMULATEXT(C852))-1)))=TRUE,"",C852)</f>
        <v>0.7</v>
      </c>
      <c r="C852" s="260">
        <f>'CDS-J'!D37</f>
        <v>0.7</v>
      </c>
      <c r="D852" s="17" t="s">
        <v>829</v>
      </c>
      <c r="E852" s="48">
        <v>107</v>
      </c>
      <c r="F852" s="17" t="s">
        <v>384</v>
      </c>
      <c r="G852" s="17"/>
    </row>
    <row r="853" spans="1:7" x14ac:dyDescent="0.2">
      <c r="A853" s="44" t="s">
        <v>936</v>
      </c>
      <c r="B853" s="257" cm="1">
        <f t="array" aca="1" ref="B853" ca="1">IF(ISBLANK(INDIRECT(MID(_xlfn.FORMULATEXT(C853),2,LEN(_xlfn.FORMULATEXT(C853))-1)))=TRUE,"",C853)</f>
        <v>13.7</v>
      </c>
      <c r="C853" s="260">
        <f>'CDS-J'!D38</f>
        <v>13.7</v>
      </c>
      <c r="D853" s="17" t="s">
        <v>829</v>
      </c>
      <c r="E853" s="48">
        <v>108</v>
      </c>
      <c r="F853" s="17" t="s">
        <v>384</v>
      </c>
      <c r="G853" s="17"/>
    </row>
    <row r="854" spans="1:7" x14ac:dyDescent="0.2">
      <c r="A854" s="44" t="s">
        <v>937</v>
      </c>
      <c r="B854" s="257" cm="1">
        <f t="array" aca="1" ref="B854" ca="1">IF(ISBLANK(INDIRECT(MID(_xlfn.FORMULATEXT(C854),2,LEN(_xlfn.FORMULATEXT(C854))-1)))=TRUE,"",C854)</f>
        <v>0</v>
      </c>
      <c r="C854" s="260">
        <f>'CDS-J'!D39</f>
        <v>0</v>
      </c>
      <c r="D854" s="17" t="s">
        <v>829</v>
      </c>
      <c r="E854" s="48">
        <v>109</v>
      </c>
      <c r="F854" s="17" t="s">
        <v>384</v>
      </c>
      <c r="G854" s="17"/>
    </row>
    <row r="855" spans="1:7" x14ac:dyDescent="0.2">
      <c r="A855" s="44" t="s">
        <v>938</v>
      </c>
      <c r="B855" s="257" cm="1">
        <f t="array" aca="1" ref="B855" ca="1">IF(ISBLANK(INDIRECT(MID(_xlfn.FORMULATEXT(C855),2,LEN(_xlfn.FORMULATEXT(C855))-1)))=TRUE,"",C855)</f>
        <v>0</v>
      </c>
      <c r="C855" s="260">
        <f>'CDS-J'!D40</f>
        <v>0</v>
      </c>
      <c r="D855" s="17" t="s">
        <v>829</v>
      </c>
      <c r="E855" s="48">
        <v>110</v>
      </c>
      <c r="F855" s="17" t="s">
        <v>384</v>
      </c>
      <c r="G855" s="17"/>
    </row>
    <row r="856" spans="1:7" x14ac:dyDescent="0.2">
      <c r="A856" s="44" t="s">
        <v>939</v>
      </c>
      <c r="B856" s="257" cm="1">
        <f t="array" aca="1" ref="B856" ca="1">IF(ISBLANK(INDIRECT(MID(_xlfn.FORMULATEXT(C856),2,LEN(_xlfn.FORMULATEXT(C856))-1)))=TRUE,"",C856)</f>
        <v>0</v>
      </c>
      <c r="C856" s="260">
        <f>'CDS-J'!D41</f>
        <v>0</v>
      </c>
      <c r="D856" s="17" t="s">
        <v>829</v>
      </c>
      <c r="E856" s="48">
        <v>111</v>
      </c>
      <c r="F856" s="17" t="s">
        <v>384</v>
      </c>
      <c r="G856" s="17"/>
    </row>
    <row r="857" spans="1:7" x14ac:dyDescent="0.2">
      <c r="A857" s="44" t="s">
        <v>940</v>
      </c>
      <c r="B857" s="257" cm="1">
        <f t="array" aca="1" ref="B857" ca="1">IF(ISBLANK(INDIRECT(MID(_xlfn.FORMULATEXT(C857),2,LEN(_xlfn.FORMULATEXT(C857))-1)))=TRUE,"",C857)</f>
        <v>0</v>
      </c>
      <c r="C857" s="260">
        <f>'CDS-J'!D42</f>
        <v>0</v>
      </c>
      <c r="D857" s="17" t="s">
        <v>829</v>
      </c>
      <c r="E857" s="48">
        <v>112</v>
      </c>
      <c r="F857" s="17" t="s">
        <v>384</v>
      </c>
      <c r="G857" s="17"/>
    </row>
    <row r="858" spans="1:7" x14ac:dyDescent="0.2">
      <c r="A858" s="44" t="s">
        <v>941</v>
      </c>
      <c r="B858" s="257" cm="1">
        <f t="array" aca="1" ref="B858" ca="1">IF(ISBLANK(INDIRECT(MID(_xlfn.FORMULATEXT(C858),2,LEN(_xlfn.FORMULATEXT(C858))-1)))=TRUE,"",C858)</f>
        <v>6.9</v>
      </c>
      <c r="C858" s="260">
        <f>'CDS-J'!D43</f>
        <v>6.9</v>
      </c>
      <c r="D858" s="17" t="s">
        <v>829</v>
      </c>
      <c r="E858" s="48">
        <v>113</v>
      </c>
      <c r="F858" s="17" t="s">
        <v>384</v>
      </c>
      <c r="G858" s="17"/>
    </row>
    <row r="859" spans="1:7" x14ac:dyDescent="0.2">
      <c r="A859" s="44" t="s">
        <v>942</v>
      </c>
      <c r="B859" s="257" cm="1">
        <f t="array" aca="1" ref="B859" ca="1">IF(ISBLANK(INDIRECT(MID(_xlfn.FORMULATEXT(C859),2,LEN(_xlfn.FORMULATEXT(C859))-1)))=TRUE,"",C859)</f>
        <v>3.8</v>
      </c>
      <c r="C859" s="260">
        <f>'CDS-J'!D44</f>
        <v>3.8</v>
      </c>
      <c r="D859" s="17" t="s">
        <v>829</v>
      </c>
      <c r="E859" s="48">
        <v>114</v>
      </c>
      <c r="F859" s="17" t="s">
        <v>384</v>
      </c>
      <c r="G859" s="17"/>
    </row>
    <row r="860" spans="1:7" x14ac:dyDescent="0.2">
      <c r="A860" s="44" t="s">
        <v>943</v>
      </c>
      <c r="B860" s="257" cm="1">
        <f t="array" aca="1" ref="B860" ca="1">IF(ISBLANK(INDIRECT(MID(_xlfn.FORMULATEXT(C860),2,LEN(_xlfn.FORMULATEXT(C860))-1)))=TRUE,"",C860)</f>
        <v>5.7</v>
      </c>
      <c r="C860" s="260">
        <f>'CDS-J'!D45</f>
        <v>5.7</v>
      </c>
      <c r="D860" s="17" t="s">
        <v>829</v>
      </c>
      <c r="E860" s="48">
        <v>115</v>
      </c>
      <c r="F860" s="17" t="s">
        <v>384</v>
      </c>
      <c r="G860" s="17"/>
    </row>
    <row r="861" spans="1:7" x14ac:dyDescent="0.2">
      <c r="A861" s="44" t="s">
        <v>944</v>
      </c>
      <c r="B861" s="257" cm="1">
        <f t="array" aca="1" ref="B861" ca="1">IF(ISBLANK(INDIRECT(MID(_xlfn.FORMULATEXT(C861),2,LEN(_xlfn.FORMULATEXT(C861))-1)))=TRUE,"",C861)</f>
        <v>4</v>
      </c>
      <c r="C861" s="260">
        <f>'CDS-J'!D46</f>
        <v>4</v>
      </c>
      <c r="D861" s="17" t="s">
        <v>829</v>
      </c>
      <c r="E861" s="48">
        <v>116</v>
      </c>
      <c r="F861" s="17" t="s">
        <v>384</v>
      </c>
      <c r="G861" s="17"/>
    </row>
    <row r="862" spans="1:7" x14ac:dyDescent="0.2">
      <c r="A862" s="44" t="s">
        <v>945</v>
      </c>
      <c r="B862" s="257" cm="1">
        <f t="array" aca="1" ref="B862" ca="1">IF(ISBLANK(INDIRECT(MID(_xlfn.FORMULATEXT(C862),2,LEN(_xlfn.FORMULATEXT(C862))-1)))=TRUE,"",C862)</f>
        <v>0</v>
      </c>
      <c r="C862" s="260">
        <f>'CDS-J'!D47</f>
        <v>0</v>
      </c>
      <c r="D862" s="17" t="s">
        <v>829</v>
      </c>
      <c r="E862" s="48">
        <v>117</v>
      </c>
      <c r="F862" s="17" t="s">
        <v>384</v>
      </c>
      <c r="G862" s="17"/>
    </row>
  </sheetData>
  <autoFilter ref="A1:H862" xr:uid="{650D4B95-F497-D447-9E8F-9AEE620EF701}">
    <sortState xmlns:xlrd2="http://schemas.microsoft.com/office/spreadsheetml/2017/richdata2" ref="A2:H862">
      <sortCondition ref="D1:D862"/>
    </sortState>
  </autoFilter>
  <phoneticPr fontId="38" type="noConversion"/>
  <conditionalFormatting sqref="A1:A451 A454:A1048576">
    <cfRule type="duplicateValues" dxfId="14" priority="4"/>
  </conditionalFormatting>
  <conditionalFormatting sqref="A1:A1048576">
    <cfRule type="duplicateValues" dxfId="13" priority="1"/>
  </conditionalFormatting>
  <conditionalFormatting sqref="A3:A34">
    <cfRule type="duplicateValues" dxfId="12" priority="13"/>
  </conditionalFormatting>
  <conditionalFormatting sqref="A441:A451 A454:A455 A457:A1048576 A1:A439">
    <cfRule type="duplicateValues" dxfId="11" priority="5"/>
  </conditionalFormatting>
  <conditionalFormatting sqref="A452:A453">
    <cfRule type="duplicateValues" dxfId="10" priority="2"/>
    <cfRule type="duplicateValues" dxfId="9" priority="3"/>
  </conditionalFormatting>
  <conditionalFormatting sqref="A838:A839 A35:A220">
    <cfRule type="duplicateValues" dxfId="8" priority="10"/>
  </conditionalFormatting>
  <conditionalFormatting sqref="H460:H463">
    <cfRule type="duplicateValues" dxfId="7" priority="6"/>
  </conditionalFormatting>
  <pageMargins left="0.7" right="0.7" top="0.75" bottom="0.75" header="0.3" footer="0.3"/>
  <pageSetup orientation="portrait" horizontalDpi="0" verticalDpi="0"/>
  <ignoredErrors>
    <ignoredError sqref="C418 C432" formula="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owColHeaders="0" showRuler="0" view="pageLayout" topLeftCell="A31" zoomScale="110" zoomScaleNormal="100" zoomScalePageLayoutView="110" workbookViewId="0">
      <selection activeCell="D46" sqref="D46"/>
    </sheetView>
  </sheetViews>
  <sheetFormatPr baseColWidth="10" defaultColWidth="11" defaultRowHeight="16" x14ac:dyDescent="0.2"/>
  <cols>
    <col min="1" max="1" width="18.83203125" customWidth="1"/>
    <col min="2" max="2" width="24.6640625" customWidth="1"/>
    <col min="3" max="3" width="22.5" customWidth="1"/>
    <col min="4" max="4" width="45.1640625" customWidth="1"/>
  </cols>
  <sheetData>
    <row r="1" spans="1:4" ht="19" x14ac:dyDescent="0.25">
      <c r="A1" s="285" t="s">
        <v>1836</v>
      </c>
      <c r="B1" s="285"/>
      <c r="C1" s="285"/>
      <c r="D1" s="285"/>
    </row>
    <row r="3" spans="1:4" ht="19" x14ac:dyDescent="0.25">
      <c r="A3" s="5" t="s">
        <v>1837</v>
      </c>
    </row>
    <row r="5" spans="1:4" x14ac:dyDescent="0.2">
      <c r="A5" s="159" t="s">
        <v>1838</v>
      </c>
    </row>
    <row r="23" spans="1:4" ht="27" customHeight="1" x14ac:dyDescent="0.2"/>
    <row r="25" spans="1:4" ht="27" customHeight="1" x14ac:dyDescent="0.2"/>
    <row r="26" spans="1:4" ht="72" customHeight="1" x14ac:dyDescent="0.2">
      <c r="C26" s="158" t="s">
        <v>1839</v>
      </c>
      <c r="D26" s="278" t="s">
        <v>2348</v>
      </c>
    </row>
    <row r="27" spans="1:4" ht="19" x14ac:dyDescent="0.25">
      <c r="A27" s="5"/>
    </row>
    <row r="28" spans="1:4" ht="19" x14ac:dyDescent="0.25">
      <c r="A28" s="5" t="s">
        <v>1840</v>
      </c>
    </row>
    <row r="30" spans="1:4" ht="19" x14ac:dyDescent="0.25">
      <c r="A30" s="5" t="s">
        <v>1841</v>
      </c>
    </row>
    <row r="31" spans="1:4" ht="32" customHeight="1" x14ac:dyDescent="0.2">
      <c r="A31" s="288" t="s">
        <v>1842</v>
      </c>
      <c r="B31" s="288"/>
      <c r="C31" s="288"/>
      <c r="D31" s="288"/>
    </row>
    <row r="32" spans="1:4" x14ac:dyDescent="0.2">
      <c r="A32" s="7"/>
      <c r="B32" s="7"/>
      <c r="C32" s="7"/>
      <c r="D32" s="7"/>
    </row>
    <row r="45" spans="4:4" x14ac:dyDescent="0.2">
      <c r="D45" s="10" t="s">
        <v>1843</v>
      </c>
    </row>
    <row r="46" spans="4:4" ht="114" customHeight="1" x14ac:dyDescent="0.2">
      <c r="D46" s="279" t="s">
        <v>2349</v>
      </c>
    </row>
    <row r="51" spans="1:4" ht="19" x14ac:dyDescent="0.25">
      <c r="A51" s="285" t="s">
        <v>1844</v>
      </c>
      <c r="B51" s="285"/>
      <c r="C51" s="285"/>
      <c r="D51" s="285"/>
    </row>
  </sheetData>
  <sheetProtection algorithmName="SHA-512" hashValue="7U7yfirUD+M6TKZIRLFL9nHsTOBef0mv0ZcFNEnSdBK3heEJgxbsarwYU5zNBac/bUsi6rKtL25U16u+cboQ9Q==" saltValue="SG1Add8uMvqnY4RpJjolPQ==" spinCount="100000" sheet="1" formatColumns="0" formatRows="0" selectLockedCells="1"/>
  <mergeCells count="3">
    <mergeCell ref="A1:D1"/>
    <mergeCell ref="A31:D31"/>
    <mergeCell ref="A51:D51"/>
  </mergeCells>
  <pageMargins left="0.7" right="0.7" top="0.75" bottom="0.75" header="0.3" footer="0.3"/>
  <pageSetup orientation="landscape" horizontalDpi="0" verticalDpi="0"/>
  <headerFooter>
    <oddHeader xml:space="preserve">&amp;C 
</oddHeader>
    <oddFooter xml:space="preserve">&amp;C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1300" r:id="rId3" name="Check Box 36">
              <controlPr locked="0" defaultSize="0" autoFill="0" autoLine="0" autoPict="0">
                <anchor moveWithCells="1">
                  <from>
                    <xdr:col>0</xdr:col>
                    <xdr:colOff>228600</xdr:colOff>
                    <xdr:row>5</xdr:row>
                    <xdr:rowOff>127000</xdr:rowOff>
                  </from>
                  <to>
                    <xdr:col>1</xdr:col>
                    <xdr:colOff>825500</xdr:colOff>
                    <xdr:row>7</xdr:row>
                    <xdr:rowOff>101600</xdr:rowOff>
                  </to>
                </anchor>
              </controlPr>
            </control>
          </mc:Choice>
        </mc:AlternateContent>
        <mc:AlternateContent xmlns:mc="http://schemas.openxmlformats.org/markup-compatibility/2006">
          <mc:Choice Requires="x14">
            <control shapeId="11301" r:id="rId4" name="Check Box 37">
              <controlPr locked="0" defaultSize="0" autoFill="0" autoLine="0" autoPict="0">
                <anchor moveWithCells="1">
                  <from>
                    <xdr:col>0</xdr:col>
                    <xdr:colOff>241300</xdr:colOff>
                    <xdr:row>7</xdr:row>
                    <xdr:rowOff>88900</xdr:rowOff>
                  </from>
                  <to>
                    <xdr:col>2</xdr:col>
                    <xdr:colOff>927100</xdr:colOff>
                    <xdr:row>9</xdr:row>
                    <xdr:rowOff>165100</xdr:rowOff>
                  </to>
                </anchor>
              </controlPr>
            </control>
          </mc:Choice>
        </mc:AlternateContent>
        <mc:AlternateContent xmlns:mc="http://schemas.openxmlformats.org/markup-compatibility/2006">
          <mc:Choice Requires="x14">
            <control shapeId="11302" r:id="rId5" name="Check Box 38">
              <controlPr locked="0" defaultSize="0" autoFill="0" autoLine="0" autoPict="0">
                <anchor moveWithCells="1">
                  <from>
                    <xdr:col>0</xdr:col>
                    <xdr:colOff>228600</xdr:colOff>
                    <xdr:row>9</xdr:row>
                    <xdr:rowOff>177800</xdr:rowOff>
                  </from>
                  <to>
                    <xdr:col>1</xdr:col>
                    <xdr:colOff>1079500</xdr:colOff>
                    <xdr:row>11</xdr:row>
                    <xdr:rowOff>152400</xdr:rowOff>
                  </to>
                </anchor>
              </controlPr>
            </control>
          </mc:Choice>
        </mc:AlternateContent>
        <mc:AlternateContent xmlns:mc="http://schemas.openxmlformats.org/markup-compatibility/2006">
          <mc:Choice Requires="x14">
            <control shapeId="11303" r:id="rId6" name="Check Box 39">
              <controlPr locked="0" defaultSize="0" autoFill="0" autoLine="0" autoPict="0">
                <anchor moveWithCells="1">
                  <from>
                    <xdr:col>0</xdr:col>
                    <xdr:colOff>228600</xdr:colOff>
                    <xdr:row>11</xdr:row>
                    <xdr:rowOff>152400</xdr:rowOff>
                  </from>
                  <to>
                    <xdr:col>1</xdr:col>
                    <xdr:colOff>698500</xdr:colOff>
                    <xdr:row>13</xdr:row>
                    <xdr:rowOff>127000</xdr:rowOff>
                  </to>
                </anchor>
              </controlPr>
            </control>
          </mc:Choice>
        </mc:AlternateContent>
        <mc:AlternateContent xmlns:mc="http://schemas.openxmlformats.org/markup-compatibility/2006">
          <mc:Choice Requires="x14">
            <control shapeId="11304" r:id="rId7" name="Check Box 40">
              <controlPr locked="0" defaultSize="0" autoFill="0" autoLine="0" autoPict="0">
                <anchor moveWithCells="1">
                  <from>
                    <xdr:col>0</xdr:col>
                    <xdr:colOff>228600</xdr:colOff>
                    <xdr:row>13</xdr:row>
                    <xdr:rowOff>139700</xdr:rowOff>
                  </from>
                  <to>
                    <xdr:col>1</xdr:col>
                    <xdr:colOff>317500</xdr:colOff>
                    <xdr:row>15</xdr:row>
                    <xdr:rowOff>114300</xdr:rowOff>
                  </to>
                </anchor>
              </controlPr>
            </control>
          </mc:Choice>
        </mc:AlternateContent>
        <mc:AlternateContent xmlns:mc="http://schemas.openxmlformats.org/markup-compatibility/2006">
          <mc:Choice Requires="x14">
            <control shapeId="11305" r:id="rId8" name="Check Box 41">
              <controlPr locked="0" defaultSize="0" autoFill="0" autoLine="0" autoPict="0">
                <anchor moveWithCells="1">
                  <from>
                    <xdr:col>0</xdr:col>
                    <xdr:colOff>228600</xdr:colOff>
                    <xdr:row>15</xdr:row>
                    <xdr:rowOff>114300</xdr:rowOff>
                  </from>
                  <to>
                    <xdr:col>1</xdr:col>
                    <xdr:colOff>317500</xdr:colOff>
                    <xdr:row>17</xdr:row>
                    <xdr:rowOff>88900</xdr:rowOff>
                  </to>
                </anchor>
              </controlPr>
            </control>
          </mc:Choice>
        </mc:AlternateContent>
        <mc:AlternateContent xmlns:mc="http://schemas.openxmlformats.org/markup-compatibility/2006">
          <mc:Choice Requires="x14">
            <control shapeId="11306" r:id="rId9" name="Check Box 42">
              <controlPr locked="0" defaultSize="0" autoFill="0" autoLine="0" autoPict="0">
                <anchor moveWithCells="1">
                  <from>
                    <xdr:col>0</xdr:col>
                    <xdr:colOff>228600</xdr:colOff>
                    <xdr:row>17</xdr:row>
                    <xdr:rowOff>101600</xdr:rowOff>
                  </from>
                  <to>
                    <xdr:col>1</xdr:col>
                    <xdr:colOff>1358900</xdr:colOff>
                    <xdr:row>19</xdr:row>
                    <xdr:rowOff>76200</xdr:rowOff>
                  </to>
                </anchor>
              </controlPr>
            </control>
          </mc:Choice>
        </mc:AlternateContent>
        <mc:AlternateContent xmlns:mc="http://schemas.openxmlformats.org/markup-compatibility/2006">
          <mc:Choice Requires="x14">
            <control shapeId="11307" r:id="rId10" name="Check Box 43">
              <controlPr locked="0" defaultSize="0" autoFill="0" autoLine="0" autoPict="0">
                <anchor moveWithCells="1">
                  <from>
                    <xdr:col>0</xdr:col>
                    <xdr:colOff>228600</xdr:colOff>
                    <xdr:row>19</xdr:row>
                    <xdr:rowOff>139700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1" name="Check Box 44">
              <controlPr locked="0" defaultSize="0" autoFill="0" autoLine="0" autoPict="0">
                <anchor moveWithCells="1">
                  <from>
                    <xdr:col>0</xdr:col>
                    <xdr:colOff>228600</xdr:colOff>
                    <xdr:row>21</xdr:row>
                    <xdr:rowOff>165100</xdr:rowOff>
                  </from>
                  <to>
                    <xdr:col>1</xdr:col>
                    <xdr:colOff>1295400</xdr:colOff>
                    <xdr:row>23</xdr:row>
                    <xdr:rowOff>0</xdr:rowOff>
                  </to>
                </anchor>
              </controlPr>
            </control>
          </mc:Choice>
        </mc:AlternateContent>
        <mc:AlternateContent xmlns:mc="http://schemas.openxmlformats.org/markup-compatibility/2006">
          <mc:Choice Requires="x14">
            <control shapeId="11309" r:id="rId12" name="Check Box 45">
              <controlPr locked="0" defaultSize="0" autoFill="0" autoLine="0" autoPict="0">
                <anchor moveWithCells="1">
                  <from>
                    <xdr:col>2</xdr:col>
                    <xdr:colOff>1689100</xdr:colOff>
                    <xdr:row>5</xdr:row>
                    <xdr:rowOff>127000</xdr:rowOff>
                  </from>
                  <to>
                    <xdr:col>3</xdr:col>
                    <xdr:colOff>1993900</xdr:colOff>
                    <xdr:row>7</xdr:row>
                    <xdr:rowOff>101600</xdr:rowOff>
                  </to>
                </anchor>
              </controlPr>
            </control>
          </mc:Choice>
        </mc:AlternateContent>
        <mc:AlternateContent xmlns:mc="http://schemas.openxmlformats.org/markup-compatibility/2006">
          <mc:Choice Requires="x14">
            <control shapeId="11310" r:id="rId13" name="Check Box 46">
              <controlPr locked="0" defaultSize="0" autoFill="0" autoLine="0" autoPict="0">
                <anchor moveWithCells="1">
                  <from>
                    <xdr:col>2</xdr:col>
                    <xdr:colOff>1676400</xdr:colOff>
                    <xdr:row>7</xdr:row>
                    <xdr:rowOff>165100</xdr:rowOff>
                  </from>
                  <to>
                    <xdr:col>3</xdr:col>
                    <xdr:colOff>1739900</xdr:colOff>
                    <xdr:row>9</xdr:row>
                    <xdr:rowOff>139700</xdr:rowOff>
                  </to>
                </anchor>
              </controlPr>
            </control>
          </mc:Choice>
        </mc:AlternateContent>
        <mc:AlternateContent xmlns:mc="http://schemas.openxmlformats.org/markup-compatibility/2006">
          <mc:Choice Requires="x14">
            <control shapeId="11311" r:id="rId14" name="Check Box 47">
              <controlPr locked="0" defaultSize="0" autoFill="0" autoLine="0" autoPict="0">
                <anchor moveWithCells="1">
                  <from>
                    <xdr:col>2</xdr:col>
                    <xdr:colOff>1701800</xdr:colOff>
                    <xdr:row>9</xdr:row>
                    <xdr:rowOff>165100</xdr:rowOff>
                  </from>
                  <to>
                    <xdr:col>3</xdr:col>
                    <xdr:colOff>1511300</xdr:colOff>
                    <xdr:row>11</xdr:row>
                    <xdr:rowOff>139700</xdr:rowOff>
                  </to>
                </anchor>
              </controlPr>
            </control>
          </mc:Choice>
        </mc:AlternateContent>
        <mc:AlternateContent xmlns:mc="http://schemas.openxmlformats.org/markup-compatibility/2006">
          <mc:Choice Requires="x14">
            <control shapeId="11312" r:id="rId15" name="Check Box 48">
              <controlPr locked="0" defaultSize="0" autoFill="0" autoLine="0" autoPict="0">
                <anchor moveWithCells="1">
                  <from>
                    <xdr:col>2</xdr:col>
                    <xdr:colOff>1701800</xdr:colOff>
                    <xdr:row>11</xdr:row>
                    <xdr:rowOff>152400</xdr:rowOff>
                  </from>
                  <to>
                    <xdr:col>3</xdr:col>
                    <xdr:colOff>2705100</xdr:colOff>
                    <xdr:row>13</xdr:row>
                    <xdr:rowOff>127000</xdr:rowOff>
                  </to>
                </anchor>
              </controlPr>
            </control>
          </mc:Choice>
        </mc:AlternateContent>
        <mc:AlternateContent xmlns:mc="http://schemas.openxmlformats.org/markup-compatibility/2006">
          <mc:Choice Requires="x14">
            <control shapeId="11313" r:id="rId16" name="Check Box 49">
              <controlPr locked="0" defaultSize="0" autoFill="0" autoLine="0" autoPict="0">
                <anchor moveWithCells="1">
                  <from>
                    <xdr:col>2</xdr:col>
                    <xdr:colOff>1701800</xdr:colOff>
                    <xdr:row>13</xdr:row>
                    <xdr:rowOff>139700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7" name="Check Box 50">
              <controlPr locked="0" defaultSize="0" autoFill="0" autoLine="0" autoPict="0">
                <anchor moveWithCells="1">
                  <from>
                    <xdr:col>2</xdr:col>
                    <xdr:colOff>1701800</xdr:colOff>
                    <xdr:row>15</xdr:row>
                    <xdr:rowOff>127000</xdr:rowOff>
                  </from>
                  <to>
                    <xdr:col>3</xdr:col>
                    <xdr:colOff>1511300</xdr:colOff>
                    <xdr:row>17</xdr:row>
                    <xdr:rowOff>101600</xdr:rowOff>
                  </to>
                </anchor>
              </controlPr>
            </control>
          </mc:Choice>
        </mc:AlternateContent>
        <mc:AlternateContent xmlns:mc="http://schemas.openxmlformats.org/markup-compatibility/2006">
          <mc:Choice Requires="x14">
            <control shapeId="11315" r:id="rId18" name="Check Box 51">
              <controlPr locked="0" defaultSize="0" autoFill="0" autoLine="0" autoPict="0">
                <anchor moveWithCells="1">
                  <from>
                    <xdr:col>2</xdr:col>
                    <xdr:colOff>1701800</xdr:colOff>
                    <xdr:row>17</xdr:row>
                    <xdr:rowOff>139700</xdr:rowOff>
                  </from>
                  <to>
                    <xdr:col>3</xdr:col>
                    <xdr:colOff>2768600</xdr:colOff>
                    <xdr:row>19</xdr:row>
                    <xdr:rowOff>114300</xdr:rowOff>
                  </to>
                </anchor>
              </controlPr>
            </control>
          </mc:Choice>
        </mc:AlternateContent>
        <mc:AlternateContent xmlns:mc="http://schemas.openxmlformats.org/markup-compatibility/2006">
          <mc:Choice Requires="x14">
            <control shapeId="11316" r:id="rId19" name="Check Box 52">
              <controlPr locked="0" defaultSize="0" autoFill="0" autoLine="0" autoPict="0">
                <anchor moveWithCells="1">
                  <from>
                    <xdr:col>2</xdr:col>
                    <xdr:colOff>1701800</xdr:colOff>
                    <xdr:row>19</xdr:row>
                    <xdr:rowOff>152400</xdr:rowOff>
                  </from>
                  <to>
                    <xdr:col>3</xdr:col>
                    <xdr:colOff>2552700</xdr:colOff>
                    <xdr:row>21</xdr:row>
                    <xdr:rowOff>127000</xdr:rowOff>
                  </to>
                </anchor>
              </controlPr>
            </control>
          </mc:Choice>
        </mc:AlternateContent>
        <mc:AlternateContent xmlns:mc="http://schemas.openxmlformats.org/markup-compatibility/2006">
          <mc:Choice Requires="x14">
            <control shapeId="11317" r:id="rId20" name="Check Box 53">
              <controlPr locked="0" defaultSize="0" autoFill="0" autoLine="0" autoPict="0">
                <anchor moveWithCells="1">
                  <from>
                    <xdr:col>2</xdr:col>
                    <xdr:colOff>1701800</xdr:colOff>
                    <xdr:row>21</xdr:row>
                    <xdr:rowOff>165100</xdr:rowOff>
                  </from>
                  <to>
                    <xdr:col>3</xdr:col>
                    <xdr:colOff>1511300</xdr:colOff>
                    <xdr:row>23</xdr:row>
                    <xdr:rowOff>0</xdr:rowOff>
                  </to>
                </anchor>
              </controlPr>
            </control>
          </mc:Choice>
        </mc:AlternateContent>
        <mc:AlternateContent xmlns:mc="http://schemas.openxmlformats.org/markup-compatibility/2006">
          <mc:Choice Requires="x14">
            <control shapeId="11318" r:id="rId21" name="Check Box 54">
              <controlPr locked="0" defaultSize="0" autoFill="0" autoLine="0" autoPict="0">
                <anchor moveWithCells="1">
                  <from>
                    <xdr:col>2</xdr:col>
                    <xdr:colOff>1689100</xdr:colOff>
                    <xdr:row>23</xdr:row>
                    <xdr:rowOff>63500</xdr:rowOff>
                  </from>
                  <to>
                    <xdr:col>3</xdr:col>
                    <xdr:colOff>1498600</xdr:colOff>
                    <xdr:row>24</xdr:row>
                    <xdr:rowOff>241300</xdr:rowOff>
                  </to>
                </anchor>
              </controlPr>
            </control>
          </mc:Choice>
        </mc:AlternateContent>
        <mc:AlternateContent xmlns:mc="http://schemas.openxmlformats.org/markup-compatibility/2006">
          <mc:Choice Requires="x14">
            <control shapeId="11319" r:id="rId22" name="Check Box 55">
              <controlPr locked="0" defaultSize="0" autoFill="0" autoLine="0" autoPict="0">
                <anchor moveWithCells="1">
                  <from>
                    <xdr:col>0</xdr:col>
                    <xdr:colOff>165100</xdr:colOff>
                    <xdr:row>31</xdr:row>
                    <xdr:rowOff>114300</xdr:rowOff>
                  </from>
                  <to>
                    <xdr:col>1</xdr:col>
                    <xdr:colOff>254000</xdr:colOff>
                    <xdr:row>33</xdr:row>
                    <xdr:rowOff>88900</xdr:rowOff>
                  </to>
                </anchor>
              </controlPr>
            </control>
          </mc:Choice>
        </mc:AlternateContent>
        <mc:AlternateContent xmlns:mc="http://schemas.openxmlformats.org/markup-compatibility/2006">
          <mc:Choice Requires="x14">
            <control shapeId="11320" r:id="rId23" name="Check Box 56">
              <controlPr locked="0" defaultSize="0" autoFill="0" autoLine="0" autoPict="0">
                <anchor moveWithCells="1">
                  <from>
                    <xdr:col>0</xdr:col>
                    <xdr:colOff>177800</xdr:colOff>
                    <xdr:row>33</xdr:row>
                    <xdr:rowOff>114300</xdr:rowOff>
                  </from>
                  <to>
                    <xdr:col>1</xdr:col>
                    <xdr:colOff>266700</xdr:colOff>
                    <xdr:row>35</xdr:row>
                    <xdr:rowOff>88900</xdr:rowOff>
                  </to>
                </anchor>
              </controlPr>
            </control>
          </mc:Choice>
        </mc:AlternateContent>
        <mc:AlternateContent xmlns:mc="http://schemas.openxmlformats.org/markup-compatibility/2006">
          <mc:Choice Requires="x14">
            <control shapeId="11321" r:id="rId24" name="Check Box 57">
              <controlPr locked="0" defaultSize="0" autoFill="0" autoLine="0" autoPict="0">
                <anchor moveWithCells="1">
                  <from>
                    <xdr:col>0</xdr:col>
                    <xdr:colOff>177800</xdr:colOff>
                    <xdr:row>35</xdr:row>
                    <xdr:rowOff>127000</xdr:rowOff>
                  </from>
                  <to>
                    <xdr:col>1</xdr:col>
                    <xdr:colOff>1003300</xdr:colOff>
                    <xdr:row>37</xdr:row>
                    <xdr:rowOff>101600</xdr:rowOff>
                  </to>
                </anchor>
              </controlPr>
            </control>
          </mc:Choice>
        </mc:AlternateContent>
        <mc:AlternateContent xmlns:mc="http://schemas.openxmlformats.org/markup-compatibility/2006">
          <mc:Choice Requires="x14">
            <control shapeId="11322" r:id="rId25" name="Check Box 58">
              <controlPr locked="0" defaultSize="0" autoFill="0" autoLine="0" autoPict="0">
                <anchor moveWithCells="1">
                  <from>
                    <xdr:col>0</xdr:col>
                    <xdr:colOff>177800</xdr:colOff>
                    <xdr:row>37</xdr:row>
                    <xdr:rowOff>139700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6" name="Check Box 59">
              <controlPr locked="0" defaultSize="0" autoFill="0" autoLine="0" autoPict="0">
                <anchor moveWithCells="1">
                  <from>
                    <xdr:col>0</xdr:col>
                    <xdr:colOff>177800</xdr:colOff>
                    <xdr:row>39</xdr:row>
                    <xdr:rowOff>114300</xdr:rowOff>
                  </from>
                  <to>
                    <xdr:col>1</xdr:col>
                    <xdr:colOff>266700</xdr:colOff>
                    <xdr:row>41</xdr:row>
                    <xdr:rowOff>88900</xdr:rowOff>
                  </to>
                </anchor>
              </controlPr>
            </control>
          </mc:Choice>
        </mc:AlternateContent>
        <mc:AlternateContent xmlns:mc="http://schemas.openxmlformats.org/markup-compatibility/2006">
          <mc:Choice Requires="x14">
            <control shapeId="11324" r:id="rId27" name="Check Box 60">
              <controlPr locked="0" defaultSize="0" autoFill="0" autoLine="0" autoPict="0">
                <anchor moveWithCells="1">
                  <from>
                    <xdr:col>2</xdr:col>
                    <xdr:colOff>139700</xdr:colOff>
                    <xdr:row>37</xdr:row>
                    <xdr:rowOff>127000</xdr:rowOff>
                  </from>
                  <to>
                    <xdr:col>2</xdr:col>
                    <xdr:colOff>1663700</xdr:colOff>
                    <xdr:row>39</xdr:row>
                    <xdr:rowOff>101600</xdr:rowOff>
                  </to>
                </anchor>
              </controlPr>
            </control>
          </mc:Choice>
        </mc:AlternateContent>
        <mc:AlternateContent xmlns:mc="http://schemas.openxmlformats.org/markup-compatibility/2006">
          <mc:Choice Requires="x14">
            <control shapeId="11325" r:id="rId28" name="Check Box 61">
              <controlPr locked="0" defaultSize="0" autoFill="0" autoLine="0" autoPict="0">
                <anchor moveWithCells="1">
                  <from>
                    <xdr:col>0</xdr:col>
                    <xdr:colOff>177800</xdr:colOff>
                    <xdr:row>41</xdr:row>
                    <xdr:rowOff>114300</xdr:rowOff>
                  </from>
                  <to>
                    <xdr:col>1</xdr:col>
                    <xdr:colOff>266700</xdr:colOff>
                    <xdr:row>43</xdr:row>
                    <xdr:rowOff>88900</xdr:rowOff>
                  </to>
                </anchor>
              </controlPr>
            </control>
          </mc:Choice>
        </mc:AlternateContent>
        <mc:AlternateContent xmlns:mc="http://schemas.openxmlformats.org/markup-compatibility/2006">
          <mc:Choice Requires="x14">
            <control shapeId="11326" r:id="rId29" name="Check Box 62">
              <controlPr locked="0" defaultSize="0" autoFill="0" autoLine="0" autoPict="0">
                <anchor moveWithCells="1">
                  <from>
                    <xdr:col>2</xdr:col>
                    <xdr:colOff>152400</xdr:colOff>
                    <xdr:row>31</xdr:row>
                    <xdr:rowOff>114300</xdr:rowOff>
                  </from>
                  <to>
                    <xdr:col>3</xdr:col>
                    <xdr:colOff>342900</xdr:colOff>
                    <xdr:row>33</xdr:row>
                    <xdr:rowOff>88900</xdr:rowOff>
                  </to>
                </anchor>
              </controlPr>
            </control>
          </mc:Choice>
        </mc:AlternateContent>
        <mc:AlternateContent xmlns:mc="http://schemas.openxmlformats.org/markup-compatibility/2006">
          <mc:Choice Requires="x14">
            <control shapeId="11327" r:id="rId30" name="Check Box 63">
              <controlPr locked="0" defaultSize="0" autoFill="0" autoLine="0" autoPict="0">
                <anchor moveWithCells="1">
                  <from>
                    <xdr:col>2</xdr:col>
                    <xdr:colOff>139700</xdr:colOff>
                    <xdr:row>33</xdr:row>
                    <xdr:rowOff>127000</xdr:rowOff>
                  </from>
                  <to>
                    <xdr:col>2</xdr:col>
                    <xdr:colOff>1663700</xdr:colOff>
                    <xdr:row>35</xdr:row>
                    <xdr:rowOff>101600</xdr:rowOff>
                  </to>
                </anchor>
              </controlPr>
            </control>
          </mc:Choice>
        </mc:AlternateContent>
        <mc:AlternateContent xmlns:mc="http://schemas.openxmlformats.org/markup-compatibility/2006">
          <mc:Choice Requires="x14">
            <control shapeId="11328" r:id="rId31" name="Check Box 64">
              <controlPr locked="0" defaultSize="0" autoFill="0" autoLine="0" autoPict="0">
                <anchor moveWithCells="1">
                  <from>
                    <xdr:col>2</xdr:col>
                    <xdr:colOff>139700</xdr:colOff>
                    <xdr:row>35</xdr:row>
                    <xdr:rowOff>127000</xdr:rowOff>
                  </from>
                  <to>
                    <xdr:col>2</xdr:col>
                    <xdr:colOff>1663700</xdr:colOff>
                    <xdr:row>37</xdr:row>
                    <xdr:rowOff>101600</xdr:rowOff>
                  </to>
                </anchor>
              </controlPr>
            </control>
          </mc:Choice>
        </mc:AlternateContent>
        <mc:AlternateContent xmlns:mc="http://schemas.openxmlformats.org/markup-compatibility/2006">
          <mc:Choice Requires="x14">
            <control shapeId="11329" r:id="rId32" name="Check Box 65">
              <controlPr locked="0" defaultSize="0" autoFill="0" autoLine="0" autoPict="0">
                <anchor moveWithCells="1">
                  <from>
                    <xdr:col>2</xdr:col>
                    <xdr:colOff>139700</xdr:colOff>
                    <xdr:row>39</xdr:row>
                    <xdr:rowOff>127000</xdr:rowOff>
                  </from>
                  <to>
                    <xdr:col>3</xdr:col>
                    <xdr:colOff>1041400</xdr:colOff>
                    <xdr:row>41</xdr:row>
                    <xdr:rowOff>101600</xdr:rowOff>
                  </to>
                </anchor>
              </controlPr>
            </control>
          </mc:Choice>
        </mc:AlternateContent>
        <mc:AlternateContent xmlns:mc="http://schemas.openxmlformats.org/markup-compatibility/2006">
          <mc:Choice Requires="x14">
            <control shapeId="11330" r:id="rId33" name="Check Box 66">
              <controlPr locked="0" defaultSize="0" autoFill="0" autoLine="0" autoPict="0">
                <anchor moveWithCells="1">
                  <from>
                    <xdr:col>2</xdr:col>
                    <xdr:colOff>139700</xdr:colOff>
                    <xdr:row>41</xdr:row>
                    <xdr:rowOff>127000</xdr:rowOff>
                  </from>
                  <to>
                    <xdr:col>2</xdr:col>
                    <xdr:colOff>1663700</xdr:colOff>
                    <xdr:row>43</xdr:row>
                    <xdr:rowOff>101600</xdr:rowOff>
                  </to>
                </anchor>
              </controlPr>
            </control>
          </mc:Choice>
        </mc:AlternateContent>
        <mc:AlternateContent xmlns:mc="http://schemas.openxmlformats.org/markup-compatibility/2006">
          <mc:Choice Requires="x14">
            <control shapeId="11331" r:id="rId34" name="Check Box 67">
              <controlPr locked="0" defaultSize="0" autoFill="0" autoLine="0" autoPict="0">
                <anchor moveWithCells="1">
                  <from>
                    <xdr:col>2</xdr:col>
                    <xdr:colOff>139700</xdr:colOff>
                    <xdr:row>43</xdr:row>
                    <xdr:rowOff>114300</xdr:rowOff>
                  </from>
                  <to>
                    <xdr:col>2</xdr:col>
                    <xdr:colOff>1663700</xdr:colOff>
                    <xdr:row>45</xdr:row>
                    <xdr:rowOff>88900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owColHeaders="0" showRuler="0" view="pageLayout" topLeftCell="A76" zoomScale="110" zoomScaleNormal="100" zoomScalePageLayoutView="110" workbookViewId="0">
      <selection activeCell="A51" sqref="A51"/>
    </sheetView>
  </sheetViews>
  <sheetFormatPr baseColWidth="10" defaultColWidth="11" defaultRowHeight="16" x14ac:dyDescent="0.2"/>
  <cols>
    <col min="1" max="1" width="53" customWidth="1"/>
    <col min="2" max="2" width="21.83203125" customWidth="1"/>
    <col min="3" max="3" width="21.5" customWidth="1"/>
    <col min="5" max="5" width="38.5" customWidth="1"/>
    <col min="6" max="6" width="10.83203125" customWidth="1"/>
    <col min="7" max="7" width="31" customWidth="1"/>
    <col min="8" max="8" width="21" customWidth="1"/>
    <col min="9" max="9" width="10.83203125" customWidth="1"/>
    <col min="10" max="10" width="19" customWidth="1"/>
    <col min="11" max="18" width="10.83203125" customWidth="1"/>
  </cols>
  <sheetData>
    <row r="1" spans="1:5" ht="19" x14ac:dyDescent="0.25">
      <c r="A1" s="340" t="s">
        <v>1845</v>
      </c>
      <c r="B1" s="340"/>
      <c r="C1" s="340"/>
      <c r="D1" s="340"/>
      <c r="E1" s="5"/>
    </row>
    <row r="3" spans="1:5" ht="19" x14ac:dyDescent="0.25">
      <c r="A3" s="5" t="s">
        <v>1846</v>
      </c>
    </row>
    <row r="5" spans="1:5" x14ac:dyDescent="0.2">
      <c r="A5" s="288" t="s">
        <v>1847</v>
      </c>
      <c r="B5" s="288"/>
      <c r="C5" s="288"/>
      <c r="D5" s="288"/>
    </row>
    <row r="6" spans="1:5" x14ac:dyDescent="0.2">
      <c r="A6" s="288"/>
      <c r="B6" s="288"/>
      <c r="C6" s="288"/>
      <c r="D6" s="288"/>
    </row>
    <row r="8" spans="1:5" ht="34" x14ac:dyDescent="0.2">
      <c r="B8" s="21" t="s">
        <v>1848</v>
      </c>
      <c r="C8" s="26" t="s">
        <v>1849</v>
      </c>
    </row>
    <row r="9" spans="1:5" ht="33.75" customHeight="1" x14ac:dyDescent="0.2">
      <c r="A9" s="54" t="s">
        <v>1850</v>
      </c>
      <c r="B9" s="160">
        <v>0.45900000000000002</v>
      </c>
      <c r="C9" s="160">
        <v>0.49099999999999999</v>
      </c>
    </row>
    <row r="10" spans="1:5" ht="33.75" customHeight="1" x14ac:dyDescent="0.2">
      <c r="A10" s="55" t="s">
        <v>1851</v>
      </c>
      <c r="B10" s="160">
        <v>0</v>
      </c>
      <c r="C10" s="160">
        <v>4.9000000000000002E-2</v>
      </c>
    </row>
    <row r="11" spans="1:5" ht="33.75" customHeight="1" x14ac:dyDescent="0.2">
      <c r="A11" s="55" t="s">
        <v>1852</v>
      </c>
      <c r="B11" s="160">
        <v>0</v>
      </c>
      <c r="C11" s="160">
        <v>2.7E-2</v>
      </c>
    </row>
    <row r="12" spans="1:5" ht="33.75" customHeight="1" x14ac:dyDescent="0.2">
      <c r="A12" s="54" t="s">
        <v>1853</v>
      </c>
      <c r="B12" s="160">
        <v>0.93600000000000005</v>
      </c>
      <c r="C12" s="160">
        <v>0.90400000000000003</v>
      </c>
    </row>
    <row r="13" spans="1:5" ht="33.75" customHeight="1" x14ac:dyDescent="0.2">
      <c r="A13" s="55" t="s">
        <v>1854</v>
      </c>
      <c r="B13" s="160">
        <v>6.4000000000000001E-2</v>
      </c>
      <c r="C13" s="160">
        <v>9.6000000000000002E-2</v>
      </c>
    </row>
    <row r="14" spans="1:5" ht="33.75" customHeight="1" x14ac:dyDescent="0.2">
      <c r="A14" s="55" t="s">
        <v>1855</v>
      </c>
      <c r="B14" s="160">
        <v>4.0000000000000001E-3</v>
      </c>
      <c r="C14" s="160">
        <v>1.4999999999999999E-2</v>
      </c>
    </row>
    <row r="15" spans="1:5" ht="33.75" customHeight="1" x14ac:dyDescent="0.2">
      <c r="A15" s="55" t="s">
        <v>1856</v>
      </c>
      <c r="B15" s="40">
        <v>18</v>
      </c>
      <c r="C15" s="40">
        <v>20</v>
      </c>
    </row>
    <row r="16" spans="1:5" ht="33.75" customHeight="1" x14ac:dyDescent="0.2">
      <c r="A16" s="55" t="s">
        <v>1857</v>
      </c>
      <c r="B16" s="40">
        <v>18</v>
      </c>
      <c r="C16" s="40">
        <v>20</v>
      </c>
    </row>
    <row r="24" spans="1:1" ht="19" x14ac:dyDescent="0.25">
      <c r="A24" s="5" t="s">
        <v>1858</v>
      </c>
    </row>
    <row r="25" spans="1:1" x14ac:dyDescent="0.2">
      <c r="A25" t="s">
        <v>1859</v>
      </c>
    </row>
    <row r="41" spans="1:1" ht="19" x14ac:dyDescent="0.25">
      <c r="A41" s="5" t="s">
        <v>1860</v>
      </c>
    </row>
    <row r="43" spans="1:1" x14ac:dyDescent="0.2">
      <c r="A43" t="s">
        <v>1861</v>
      </c>
    </row>
    <row r="45" spans="1:1" x14ac:dyDescent="0.2">
      <c r="A45" s="10" t="s">
        <v>1862</v>
      </c>
    </row>
    <row r="46" spans="1:1" ht="17" x14ac:dyDescent="0.2">
      <c r="A46" s="15" t="s">
        <v>2350</v>
      </c>
    </row>
    <row r="48" spans="1:1" x14ac:dyDescent="0.2">
      <c r="A48" t="s">
        <v>1863</v>
      </c>
    </row>
    <row r="50" spans="1:1" x14ac:dyDescent="0.2">
      <c r="A50" s="10" t="s">
        <v>1862</v>
      </c>
    </row>
    <row r="51" spans="1:1" x14ac:dyDescent="0.2">
      <c r="A51" s="15"/>
    </row>
    <row r="53" spans="1:1" x14ac:dyDescent="0.2">
      <c r="A53" t="s">
        <v>1864</v>
      </c>
    </row>
    <row r="55" spans="1:1" x14ac:dyDescent="0.2">
      <c r="A55" s="10" t="s">
        <v>1862</v>
      </c>
    </row>
    <row r="56" spans="1:1" x14ac:dyDescent="0.2">
      <c r="A56" s="15"/>
    </row>
    <row r="57" spans="1:1" ht="19" x14ac:dyDescent="0.25">
      <c r="A57" s="5" t="s">
        <v>1865</v>
      </c>
    </row>
    <row r="58" spans="1:1" x14ac:dyDescent="0.2">
      <c r="A58" t="s">
        <v>1866</v>
      </c>
    </row>
    <row r="74" spans="1:1" x14ac:dyDescent="0.2">
      <c r="A74" t="s">
        <v>1867</v>
      </c>
    </row>
    <row r="75" spans="1:1" ht="48" customHeight="1" x14ac:dyDescent="0.2">
      <c r="A75" s="15"/>
    </row>
    <row r="84" spans="1:4" ht="19" x14ac:dyDescent="0.2">
      <c r="A84" s="340" t="s">
        <v>1868</v>
      </c>
      <c r="B84" s="340"/>
      <c r="C84" s="340"/>
      <c r="D84" s="340"/>
    </row>
  </sheetData>
  <sheetProtection algorithmName="SHA-512" hashValue="IiTsMCFJtJ6SqKm4fIPi43Cyrhf4unpHQY1Gv2oT0BOHIr6ST6n8k14KDuNVfwyudjj51ottyooG1qBrlpZAjw==" saltValue="pzLNhkAY8DxvcAt7iiRoiA==" spinCount="100000" sheet="1"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horizontalDpi="0" verticalDpi="0"/>
  <headerFooter>
    <oddHeader xml:space="preserve">&amp;C 
</oddHeader>
    <oddFooter xml:space="preserve">&amp;C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4337" r:id="rId3" name="Check Box 1">
              <controlPr locked="0" defaultSize="0" autoFill="0" autoLine="0" autoPict="0">
                <anchor moveWithCells="1">
                  <from>
                    <xdr:col>0</xdr:col>
                    <xdr:colOff>1079500</xdr:colOff>
                    <xdr:row>25</xdr:row>
                    <xdr:rowOff>114300</xdr:rowOff>
                  </from>
                  <to>
                    <xdr:col>0</xdr:col>
                    <xdr:colOff>2603500</xdr:colOff>
                    <xdr:row>27</xdr:row>
                    <xdr:rowOff>88900</xdr:rowOff>
                  </to>
                </anchor>
              </controlPr>
            </control>
          </mc:Choice>
        </mc:AlternateContent>
        <mc:AlternateContent xmlns:mc="http://schemas.openxmlformats.org/markup-compatibility/2006">
          <mc:Choice Requires="x14">
            <control shapeId="14338" r:id="rId4" name="Check Box 2">
              <controlPr locked="0" defaultSize="0" autoFill="0" autoLine="0" autoPict="0">
                <anchor moveWithCells="1">
                  <from>
                    <xdr:col>0</xdr:col>
                    <xdr:colOff>1079500</xdr:colOff>
                    <xdr:row>27</xdr:row>
                    <xdr:rowOff>114300</xdr:rowOff>
                  </from>
                  <to>
                    <xdr:col>0</xdr:col>
                    <xdr:colOff>2603500</xdr:colOff>
                    <xdr:row>29</xdr:row>
                    <xdr:rowOff>88900</xdr:rowOff>
                  </to>
                </anchor>
              </controlPr>
            </control>
          </mc:Choice>
        </mc:AlternateContent>
        <mc:AlternateContent xmlns:mc="http://schemas.openxmlformats.org/markup-compatibility/2006">
          <mc:Choice Requires="x14">
            <control shapeId="14339" r:id="rId5" name="Check Box 3">
              <controlPr locked="0" defaultSize="0" autoFill="0" autoLine="0" autoPict="0">
                <anchor moveWithCells="1">
                  <from>
                    <xdr:col>0</xdr:col>
                    <xdr:colOff>1092200</xdr:colOff>
                    <xdr:row>29</xdr:row>
                    <xdr:rowOff>114300</xdr:rowOff>
                  </from>
                  <to>
                    <xdr:col>0</xdr:col>
                    <xdr:colOff>2616200</xdr:colOff>
                    <xdr:row>31</xdr:row>
                    <xdr:rowOff>88900</xdr:rowOff>
                  </to>
                </anchor>
              </controlPr>
            </control>
          </mc:Choice>
        </mc:AlternateContent>
        <mc:AlternateContent xmlns:mc="http://schemas.openxmlformats.org/markup-compatibility/2006">
          <mc:Choice Requires="x14">
            <control shapeId="14340" r:id="rId6" name="Check Box 4">
              <controlPr locked="0" defaultSize="0" autoFill="0" autoLine="0" autoPict="0">
                <anchor moveWithCells="1">
                  <from>
                    <xdr:col>0</xdr:col>
                    <xdr:colOff>1092200</xdr:colOff>
                    <xdr:row>31</xdr:row>
                    <xdr:rowOff>114300</xdr:rowOff>
                  </from>
                  <to>
                    <xdr:col>0</xdr:col>
                    <xdr:colOff>2616200</xdr:colOff>
                    <xdr:row>33</xdr:row>
                    <xdr:rowOff>88900</xdr:rowOff>
                  </to>
                </anchor>
              </controlPr>
            </control>
          </mc:Choice>
        </mc:AlternateContent>
        <mc:AlternateContent xmlns:mc="http://schemas.openxmlformats.org/markup-compatibility/2006">
          <mc:Choice Requires="x14">
            <control shapeId="14341" r:id="rId7" name="Check Box 5">
              <controlPr locked="0" defaultSize="0" autoFill="0" autoLine="0" autoPict="0">
                <anchor moveWithCells="1">
                  <from>
                    <xdr:col>0</xdr:col>
                    <xdr:colOff>1092200</xdr:colOff>
                    <xdr:row>33</xdr:row>
                    <xdr:rowOff>114300</xdr:rowOff>
                  </from>
                  <to>
                    <xdr:col>0</xdr:col>
                    <xdr:colOff>2616200</xdr:colOff>
                    <xdr:row>35</xdr:row>
                    <xdr:rowOff>88900</xdr:rowOff>
                  </to>
                </anchor>
              </controlPr>
            </control>
          </mc:Choice>
        </mc:AlternateContent>
        <mc:AlternateContent xmlns:mc="http://schemas.openxmlformats.org/markup-compatibility/2006">
          <mc:Choice Requires="x14">
            <control shapeId="14342" r:id="rId8" name="Check Box 6">
              <controlPr locked="0" defaultSize="0" autoFill="0" autoLine="0" autoPict="0">
                <anchor moveWithCells="1">
                  <from>
                    <xdr:col>0</xdr:col>
                    <xdr:colOff>1092200</xdr:colOff>
                    <xdr:row>35</xdr:row>
                    <xdr:rowOff>114300</xdr:rowOff>
                  </from>
                  <to>
                    <xdr:col>0</xdr:col>
                    <xdr:colOff>3911600</xdr:colOff>
                    <xdr:row>37</xdr:row>
                    <xdr:rowOff>88900</xdr:rowOff>
                  </to>
                </anchor>
              </controlPr>
            </control>
          </mc:Choice>
        </mc:AlternateContent>
        <mc:AlternateContent xmlns:mc="http://schemas.openxmlformats.org/markup-compatibility/2006">
          <mc:Choice Requires="x14">
            <control shapeId="14343" r:id="rId9" name="Check Box 7">
              <controlPr locked="0" defaultSize="0" autoFill="0" autoLine="0" autoPict="0">
                <anchor moveWithCells="1">
                  <from>
                    <xdr:col>0</xdr:col>
                    <xdr:colOff>1092200</xdr:colOff>
                    <xdr:row>37</xdr:row>
                    <xdr:rowOff>114300</xdr:rowOff>
                  </from>
                  <to>
                    <xdr:col>0</xdr:col>
                    <xdr:colOff>3911600</xdr:colOff>
                    <xdr:row>39</xdr:row>
                    <xdr:rowOff>88900</xdr:rowOff>
                  </to>
                </anchor>
              </controlPr>
            </control>
          </mc:Choice>
        </mc:AlternateContent>
        <mc:AlternateContent xmlns:mc="http://schemas.openxmlformats.org/markup-compatibility/2006">
          <mc:Choice Requires="x14">
            <control shapeId="14350" r:id="rId10" name="Check Box 14">
              <controlPr locked="0" defaultSize="0" autoFill="0" autoLine="0" autoPict="0">
                <anchor moveWithCells="1">
                  <from>
                    <xdr:col>0</xdr:col>
                    <xdr:colOff>4089400</xdr:colOff>
                    <xdr:row>25</xdr:row>
                    <xdr:rowOff>114300</xdr:rowOff>
                  </from>
                  <to>
                    <xdr:col>1</xdr:col>
                    <xdr:colOff>1524000</xdr:colOff>
                    <xdr:row>27</xdr:row>
                    <xdr:rowOff>88900</xdr:rowOff>
                  </to>
                </anchor>
              </controlPr>
            </control>
          </mc:Choice>
        </mc:AlternateContent>
        <mc:AlternateContent xmlns:mc="http://schemas.openxmlformats.org/markup-compatibility/2006">
          <mc:Choice Requires="x14">
            <control shapeId="14353" r:id="rId11" name="Check Box 17">
              <controlPr locked="0" defaultSize="0" autoFill="0" autoLine="0" autoPict="0">
                <anchor moveWithCells="1">
                  <from>
                    <xdr:col>0</xdr:col>
                    <xdr:colOff>4089400</xdr:colOff>
                    <xdr:row>27</xdr:row>
                    <xdr:rowOff>127000</xdr:rowOff>
                  </from>
                  <to>
                    <xdr:col>1</xdr:col>
                    <xdr:colOff>1511300</xdr:colOff>
                    <xdr:row>29</xdr:row>
                    <xdr:rowOff>101600</xdr:rowOff>
                  </to>
                </anchor>
              </controlPr>
            </control>
          </mc:Choice>
        </mc:AlternateContent>
        <mc:AlternateContent xmlns:mc="http://schemas.openxmlformats.org/markup-compatibility/2006">
          <mc:Choice Requires="x14">
            <control shapeId="14354" r:id="rId12" name="Check Box 18">
              <controlPr locked="0" defaultSize="0" autoFill="0" autoLine="0" autoPict="0">
                <anchor moveWithCells="1">
                  <from>
                    <xdr:col>0</xdr:col>
                    <xdr:colOff>4089400</xdr:colOff>
                    <xdr:row>29</xdr:row>
                    <xdr:rowOff>127000</xdr:rowOff>
                  </from>
                  <to>
                    <xdr:col>1</xdr:col>
                    <xdr:colOff>1498600</xdr:colOff>
                    <xdr:row>31</xdr:row>
                    <xdr:rowOff>101600</xdr:rowOff>
                  </to>
                </anchor>
              </controlPr>
            </control>
          </mc:Choice>
        </mc:AlternateContent>
        <mc:AlternateContent xmlns:mc="http://schemas.openxmlformats.org/markup-compatibility/2006">
          <mc:Choice Requires="x14">
            <control shapeId="14355" r:id="rId13" name="Check Box 19">
              <controlPr locked="0" defaultSize="0" autoFill="0" autoLine="0" autoPict="0">
                <anchor moveWithCells="1">
                  <from>
                    <xdr:col>0</xdr:col>
                    <xdr:colOff>4089400</xdr:colOff>
                    <xdr:row>31</xdr:row>
                    <xdr:rowOff>114300</xdr:rowOff>
                  </from>
                  <to>
                    <xdr:col>1</xdr:col>
                    <xdr:colOff>1485900</xdr:colOff>
                    <xdr:row>33</xdr:row>
                    <xdr:rowOff>88900</xdr:rowOff>
                  </to>
                </anchor>
              </controlPr>
            </control>
          </mc:Choice>
        </mc:AlternateContent>
        <mc:AlternateContent xmlns:mc="http://schemas.openxmlformats.org/markup-compatibility/2006">
          <mc:Choice Requires="x14">
            <control shapeId="14356" r:id="rId14" name="Check Box 20">
              <controlPr locked="0" defaultSize="0" autoFill="0" autoLine="0" autoPict="0">
                <anchor moveWithCells="1">
                  <from>
                    <xdr:col>0</xdr:col>
                    <xdr:colOff>4089400</xdr:colOff>
                    <xdr:row>33</xdr:row>
                    <xdr:rowOff>114300</xdr:rowOff>
                  </from>
                  <to>
                    <xdr:col>1</xdr:col>
                    <xdr:colOff>1473200</xdr:colOff>
                    <xdr:row>35</xdr:row>
                    <xdr:rowOff>88900</xdr:rowOff>
                  </to>
                </anchor>
              </controlPr>
            </control>
          </mc:Choice>
        </mc:AlternateContent>
        <mc:AlternateContent xmlns:mc="http://schemas.openxmlformats.org/markup-compatibility/2006">
          <mc:Choice Requires="x14">
            <control shapeId="14357" r:id="rId15" name="Check Box 21">
              <controlPr locked="0" defaultSize="0" autoFill="0" autoLine="0" autoPict="0">
                <anchor moveWithCells="1">
                  <from>
                    <xdr:col>0</xdr:col>
                    <xdr:colOff>4089400</xdr:colOff>
                    <xdr:row>35</xdr:row>
                    <xdr:rowOff>127000</xdr:rowOff>
                  </from>
                  <to>
                    <xdr:col>1</xdr:col>
                    <xdr:colOff>1460500</xdr:colOff>
                    <xdr:row>37</xdr:row>
                    <xdr:rowOff>101600</xdr:rowOff>
                  </to>
                </anchor>
              </controlPr>
            </control>
          </mc:Choice>
        </mc:AlternateContent>
        <mc:AlternateContent xmlns:mc="http://schemas.openxmlformats.org/markup-compatibility/2006">
          <mc:Choice Requires="x14">
            <control shapeId="14358" r:id="rId16" name="Check Box 22">
              <controlPr locked="0" defaultSize="0" autoFill="0" autoLine="0" autoPict="0">
                <anchor moveWithCells="1">
                  <from>
                    <xdr:col>0</xdr:col>
                    <xdr:colOff>1574800</xdr:colOff>
                    <xdr:row>41</xdr:row>
                    <xdr:rowOff>114300</xdr:rowOff>
                  </from>
                  <to>
                    <xdr:col>0</xdr:col>
                    <xdr:colOff>2768600</xdr:colOff>
                    <xdr:row>43</xdr:row>
                    <xdr:rowOff>88900</xdr:rowOff>
                  </to>
                </anchor>
              </controlPr>
            </control>
          </mc:Choice>
        </mc:AlternateContent>
        <mc:AlternateContent xmlns:mc="http://schemas.openxmlformats.org/markup-compatibility/2006">
          <mc:Choice Requires="x14">
            <control shapeId="14359" r:id="rId17" name="Check Box 23">
              <controlPr locked="0" defaultSize="0" autoFill="0" autoLine="0" autoPict="0">
                <anchor moveWithCells="1">
                  <from>
                    <xdr:col>0</xdr:col>
                    <xdr:colOff>2984500</xdr:colOff>
                    <xdr:row>41</xdr:row>
                    <xdr:rowOff>114300</xdr:rowOff>
                  </from>
                  <to>
                    <xdr:col>1</xdr:col>
                    <xdr:colOff>1231900</xdr:colOff>
                    <xdr:row>43</xdr:row>
                    <xdr:rowOff>88900</xdr:rowOff>
                  </to>
                </anchor>
              </controlPr>
            </control>
          </mc:Choice>
        </mc:AlternateContent>
        <mc:AlternateContent xmlns:mc="http://schemas.openxmlformats.org/markup-compatibility/2006">
          <mc:Choice Requires="x14">
            <control shapeId="14360" r:id="rId18" name="Check Box 24">
              <controlPr locked="0" defaultSize="0" autoFill="0" autoLine="0" autoPict="0">
                <anchor moveWithCells="1">
                  <from>
                    <xdr:col>0</xdr:col>
                    <xdr:colOff>1562100</xdr:colOff>
                    <xdr:row>46</xdr:row>
                    <xdr:rowOff>114300</xdr:rowOff>
                  </from>
                  <to>
                    <xdr:col>0</xdr:col>
                    <xdr:colOff>3086100</xdr:colOff>
                    <xdr:row>48</xdr:row>
                    <xdr:rowOff>88900</xdr:rowOff>
                  </to>
                </anchor>
              </controlPr>
            </control>
          </mc:Choice>
        </mc:AlternateContent>
        <mc:AlternateContent xmlns:mc="http://schemas.openxmlformats.org/markup-compatibility/2006">
          <mc:Choice Requires="x14">
            <control shapeId="14361" r:id="rId19" name="Check Box 25">
              <controlPr locked="0" defaultSize="0" autoFill="0" autoLine="0" autoPict="0">
                <anchor moveWithCells="1">
                  <from>
                    <xdr:col>0</xdr:col>
                    <xdr:colOff>3009900</xdr:colOff>
                    <xdr:row>46</xdr:row>
                    <xdr:rowOff>114300</xdr:rowOff>
                  </from>
                  <to>
                    <xdr:col>1</xdr:col>
                    <xdr:colOff>12700</xdr:colOff>
                    <xdr:row>48</xdr:row>
                    <xdr:rowOff>88900</xdr:rowOff>
                  </to>
                </anchor>
              </controlPr>
            </control>
          </mc:Choice>
        </mc:AlternateContent>
        <mc:AlternateContent xmlns:mc="http://schemas.openxmlformats.org/markup-compatibility/2006">
          <mc:Choice Requires="x14">
            <control shapeId="14362" r:id="rId20" name="Check Box 26">
              <controlPr locked="0" defaultSize="0" autoFill="0" autoLine="0" autoPict="0">
                <anchor moveWithCells="1">
                  <from>
                    <xdr:col>1</xdr:col>
                    <xdr:colOff>88900</xdr:colOff>
                    <xdr:row>46</xdr:row>
                    <xdr:rowOff>114300</xdr:rowOff>
                  </from>
                  <to>
                    <xdr:col>2</xdr:col>
                    <xdr:colOff>787400</xdr:colOff>
                    <xdr:row>48</xdr:row>
                    <xdr:rowOff>88900</xdr:rowOff>
                  </to>
                </anchor>
              </controlPr>
            </control>
          </mc:Choice>
        </mc:AlternateContent>
        <mc:AlternateContent xmlns:mc="http://schemas.openxmlformats.org/markup-compatibility/2006">
          <mc:Choice Requires="x14">
            <control shapeId="14363" r:id="rId21" name="Check Box 27">
              <controlPr locked="0" defaultSize="0" autoFill="0" autoLine="0" autoPict="0">
                <anchor moveWithCells="1">
                  <from>
                    <xdr:col>0</xdr:col>
                    <xdr:colOff>1905000</xdr:colOff>
                    <xdr:row>51</xdr:row>
                    <xdr:rowOff>114300</xdr:rowOff>
                  </from>
                  <to>
                    <xdr:col>0</xdr:col>
                    <xdr:colOff>3060700</xdr:colOff>
                    <xdr:row>53</xdr:row>
                    <xdr:rowOff>88900</xdr:rowOff>
                  </to>
                </anchor>
              </controlPr>
            </control>
          </mc:Choice>
        </mc:AlternateContent>
        <mc:AlternateContent xmlns:mc="http://schemas.openxmlformats.org/markup-compatibility/2006">
          <mc:Choice Requires="x14">
            <control shapeId="14364" r:id="rId22" name="Check Box 28">
              <controlPr locked="0" defaultSize="0" autoFill="0" autoLine="0" autoPict="0">
                <anchor moveWithCells="1">
                  <from>
                    <xdr:col>0</xdr:col>
                    <xdr:colOff>3390900</xdr:colOff>
                    <xdr:row>51</xdr:row>
                    <xdr:rowOff>101600</xdr:rowOff>
                  </from>
                  <to>
                    <xdr:col>2</xdr:col>
                    <xdr:colOff>50800</xdr:colOff>
                    <xdr:row>53</xdr:row>
                    <xdr:rowOff>76200</xdr:rowOff>
                  </to>
                </anchor>
              </controlPr>
            </control>
          </mc:Choice>
        </mc:AlternateContent>
        <mc:AlternateContent xmlns:mc="http://schemas.openxmlformats.org/markup-compatibility/2006">
          <mc:Choice Requires="x14">
            <control shapeId="14365" r:id="rId23" name="Check Box 29">
              <controlPr locked="0" defaultSize="0" autoFill="0" autoLine="0" autoPict="0">
                <anchor moveWithCells="1">
                  <from>
                    <xdr:col>0</xdr:col>
                    <xdr:colOff>393700</xdr:colOff>
                    <xdr:row>58</xdr:row>
                    <xdr:rowOff>127000</xdr:rowOff>
                  </from>
                  <to>
                    <xdr:col>0</xdr:col>
                    <xdr:colOff>3314700</xdr:colOff>
                    <xdr:row>60</xdr:row>
                    <xdr:rowOff>88900</xdr:rowOff>
                  </to>
                </anchor>
              </controlPr>
            </control>
          </mc:Choice>
        </mc:AlternateContent>
        <mc:AlternateContent xmlns:mc="http://schemas.openxmlformats.org/markup-compatibility/2006">
          <mc:Choice Requires="x14">
            <control shapeId="14366" r:id="rId24" name="Check Box 30">
              <controlPr locked="0" defaultSize="0" autoFill="0" autoLine="0" autoPict="0">
                <anchor moveWithCells="1">
                  <from>
                    <xdr:col>0</xdr:col>
                    <xdr:colOff>406400</xdr:colOff>
                    <xdr:row>60</xdr:row>
                    <xdr:rowOff>127000</xdr:rowOff>
                  </from>
                  <to>
                    <xdr:col>0</xdr:col>
                    <xdr:colOff>3086100</xdr:colOff>
                    <xdr:row>62</xdr:row>
                    <xdr:rowOff>88900</xdr:rowOff>
                  </to>
                </anchor>
              </controlPr>
            </control>
          </mc:Choice>
        </mc:AlternateContent>
        <mc:AlternateContent xmlns:mc="http://schemas.openxmlformats.org/markup-compatibility/2006">
          <mc:Choice Requires="x14">
            <control shapeId="14367" r:id="rId25" name="Check Box 31">
              <controlPr locked="0" defaultSize="0" autoFill="0" autoLine="0" autoPict="0">
                <anchor moveWithCells="1">
                  <from>
                    <xdr:col>0</xdr:col>
                    <xdr:colOff>406400</xdr:colOff>
                    <xdr:row>62</xdr:row>
                    <xdr:rowOff>114300</xdr:rowOff>
                  </from>
                  <to>
                    <xdr:col>0</xdr:col>
                    <xdr:colOff>1930400</xdr:colOff>
                    <xdr:row>64</xdr:row>
                    <xdr:rowOff>76200</xdr:rowOff>
                  </to>
                </anchor>
              </controlPr>
            </control>
          </mc:Choice>
        </mc:AlternateContent>
        <mc:AlternateContent xmlns:mc="http://schemas.openxmlformats.org/markup-compatibility/2006">
          <mc:Choice Requires="x14">
            <control shapeId="14368" r:id="rId26" name="Check Box 32">
              <controlPr locked="0" defaultSize="0" autoFill="0" autoLine="0" autoPict="0">
                <anchor moveWithCells="1">
                  <from>
                    <xdr:col>0</xdr:col>
                    <xdr:colOff>406400</xdr:colOff>
                    <xdr:row>64</xdr:row>
                    <xdr:rowOff>127000</xdr:rowOff>
                  </from>
                  <to>
                    <xdr:col>0</xdr:col>
                    <xdr:colOff>1930400</xdr:colOff>
                    <xdr:row>66</xdr:row>
                    <xdr:rowOff>88900</xdr:rowOff>
                  </to>
                </anchor>
              </controlPr>
            </control>
          </mc:Choice>
        </mc:AlternateContent>
        <mc:AlternateContent xmlns:mc="http://schemas.openxmlformats.org/markup-compatibility/2006">
          <mc:Choice Requires="x14">
            <control shapeId="14369" r:id="rId27" name="Check Box 33">
              <controlPr locked="0" defaultSize="0" autoFill="0" autoLine="0" autoPict="0">
                <anchor moveWithCells="1">
                  <from>
                    <xdr:col>0</xdr:col>
                    <xdr:colOff>406400</xdr:colOff>
                    <xdr:row>66</xdr:row>
                    <xdr:rowOff>127000</xdr:rowOff>
                  </from>
                  <to>
                    <xdr:col>0</xdr:col>
                    <xdr:colOff>2781300</xdr:colOff>
                    <xdr:row>68</xdr:row>
                    <xdr:rowOff>88900</xdr:rowOff>
                  </to>
                </anchor>
              </controlPr>
            </control>
          </mc:Choice>
        </mc:AlternateContent>
        <mc:AlternateContent xmlns:mc="http://schemas.openxmlformats.org/markup-compatibility/2006">
          <mc:Choice Requires="x14">
            <control shapeId="14370" r:id="rId28" name="Check Box 34">
              <controlPr locked="0" defaultSize="0" autoFill="0" autoLine="0" autoPict="0">
                <anchor moveWithCells="1">
                  <from>
                    <xdr:col>0</xdr:col>
                    <xdr:colOff>419100</xdr:colOff>
                    <xdr:row>68</xdr:row>
                    <xdr:rowOff>114300</xdr:rowOff>
                  </from>
                  <to>
                    <xdr:col>0</xdr:col>
                    <xdr:colOff>2794000</xdr:colOff>
                    <xdr:row>70</xdr:row>
                    <xdr:rowOff>76200</xdr:rowOff>
                  </to>
                </anchor>
              </controlPr>
            </control>
          </mc:Choice>
        </mc:AlternateContent>
        <mc:AlternateContent xmlns:mc="http://schemas.openxmlformats.org/markup-compatibility/2006">
          <mc:Choice Requires="x14">
            <control shapeId="14371" r:id="rId29" name="Check Box 35">
              <controlPr locked="0" defaultSize="0" autoFill="0" autoLine="0" autoPict="0">
                <anchor moveWithCells="1">
                  <from>
                    <xdr:col>0</xdr:col>
                    <xdr:colOff>4089400</xdr:colOff>
                    <xdr:row>58</xdr:row>
                    <xdr:rowOff>114300</xdr:rowOff>
                  </from>
                  <to>
                    <xdr:col>2</xdr:col>
                    <xdr:colOff>711200</xdr:colOff>
                    <xdr:row>60</xdr:row>
                    <xdr:rowOff>76200</xdr:rowOff>
                  </to>
                </anchor>
              </controlPr>
            </control>
          </mc:Choice>
        </mc:AlternateContent>
        <mc:AlternateContent xmlns:mc="http://schemas.openxmlformats.org/markup-compatibility/2006">
          <mc:Choice Requires="x14">
            <control shapeId="14372" r:id="rId30" name="Check Box 36">
              <controlPr locked="0" defaultSize="0" autoFill="0" autoLine="0" autoPict="0">
                <anchor moveWithCells="1">
                  <from>
                    <xdr:col>0</xdr:col>
                    <xdr:colOff>4102100</xdr:colOff>
                    <xdr:row>60</xdr:row>
                    <xdr:rowOff>114300</xdr:rowOff>
                  </from>
                  <to>
                    <xdr:col>2</xdr:col>
                    <xdr:colOff>1498600</xdr:colOff>
                    <xdr:row>62</xdr:row>
                    <xdr:rowOff>76200</xdr:rowOff>
                  </to>
                </anchor>
              </controlPr>
            </control>
          </mc:Choice>
        </mc:AlternateContent>
        <mc:AlternateContent xmlns:mc="http://schemas.openxmlformats.org/markup-compatibility/2006">
          <mc:Choice Requires="x14">
            <control shapeId="14373" r:id="rId31" name="Check Box 37">
              <controlPr locked="0" defaultSize="0" autoFill="0" autoLine="0" autoPict="0">
                <anchor moveWithCells="1">
                  <from>
                    <xdr:col>0</xdr:col>
                    <xdr:colOff>4102100</xdr:colOff>
                    <xdr:row>62</xdr:row>
                    <xdr:rowOff>114300</xdr:rowOff>
                  </from>
                  <to>
                    <xdr:col>2</xdr:col>
                    <xdr:colOff>1498600</xdr:colOff>
                    <xdr:row>64</xdr:row>
                    <xdr:rowOff>76200</xdr:rowOff>
                  </to>
                </anchor>
              </controlPr>
            </control>
          </mc:Choice>
        </mc:AlternateContent>
        <mc:AlternateContent xmlns:mc="http://schemas.openxmlformats.org/markup-compatibility/2006">
          <mc:Choice Requires="x14">
            <control shapeId="14374" r:id="rId32" name="Check Box 38">
              <controlPr locked="0" defaultSize="0" autoFill="0" autoLine="0" autoPict="0">
                <anchor moveWithCells="1">
                  <from>
                    <xdr:col>0</xdr:col>
                    <xdr:colOff>4102100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3" name="Check Box 39">
              <controlPr locked="0" defaultSize="0" autoFill="0" autoLine="0" autoPict="0">
                <anchor moveWithCells="1">
                  <from>
                    <xdr:col>0</xdr:col>
                    <xdr:colOff>4089400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4" name="Check Box 40">
              <controlPr locked="0" defaultSize="0" autoFill="0" autoLine="0" autoPict="0">
                <anchor moveWithCells="1">
                  <from>
                    <xdr:col>0</xdr:col>
                    <xdr:colOff>419100</xdr:colOff>
                    <xdr:row>70</xdr:row>
                    <xdr:rowOff>127000</xdr:rowOff>
                  </from>
                  <to>
                    <xdr:col>0</xdr:col>
                    <xdr:colOff>3568700</xdr:colOff>
                    <xdr:row>72</xdr:row>
                    <xdr:rowOff>88900</xdr:rowOff>
                  </to>
                </anchor>
              </controlPr>
            </control>
          </mc:Choice>
        </mc:AlternateContent>
        <mc:AlternateContent xmlns:mc="http://schemas.openxmlformats.org/markup-compatibility/2006">
          <mc:Choice Requires="x14">
            <control shapeId="14378" r:id="rId35" name="Check Box 42">
              <controlPr locked="0" defaultSize="0" autoFill="0" autoLine="0" autoPict="0">
                <anchor moveWithCells="1">
                  <from>
                    <xdr:col>0</xdr:col>
                    <xdr:colOff>4076700</xdr:colOff>
                    <xdr:row>37</xdr:row>
                    <xdr:rowOff>114300</xdr:rowOff>
                  </from>
                  <to>
                    <xdr:col>1</xdr:col>
                    <xdr:colOff>1460500</xdr:colOff>
                    <xdr:row>39</xdr:row>
                    <xdr:rowOff>88900</xdr:rowOff>
                  </to>
                </anchor>
              </controlPr>
            </control>
          </mc:Choice>
        </mc:AlternateContent>
        <mc:AlternateContent xmlns:mc="http://schemas.openxmlformats.org/markup-compatibility/2006">
          <mc:Choice Requires="x14">
            <control shapeId="14379" r:id="rId36" name="Check Box 43">
              <controlPr locked="0" defaultSize="0" autoFill="0" autoLine="0" autoPict="0">
                <anchor moveWithCells="1">
                  <from>
                    <xdr:col>2</xdr:col>
                    <xdr:colOff>635000</xdr:colOff>
                    <xdr:row>25</xdr:row>
                    <xdr:rowOff>114300</xdr:rowOff>
                  </from>
                  <to>
                    <xdr:col>3</xdr:col>
                    <xdr:colOff>787400</xdr:colOff>
                    <xdr:row>27</xdr:row>
                    <xdr:rowOff>88900</xdr:rowOff>
                  </to>
                </anchor>
              </controlPr>
            </control>
          </mc:Choice>
        </mc:AlternateContent>
        <mc:AlternateContent xmlns:mc="http://schemas.openxmlformats.org/markup-compatibility/2006">
          <mc:Choice Requires="x14">
            <control shapeId="14380" r:id="rId37" name="Check Box 44">
              <controlPr locked="0" defaultSize="0" autoFill="0" autoLine="0" autoPict="0">
                <anchor moveWithCells="1">
                  <from>
                    <xdr:col>2</xdr:col>
                    <xdr:colOff>635000</xdr:colOff>
                    <xdr:row>27</xdr:row>
                    <xdr:rowOff>114300</xdr:rowOff>
                  </from>
                  <to>
                    <xdr:col>3</xdr:col>
                    <xdr:colOff>774700</xdr:colOff>
                    <xdr:row>29</xdr:row>
                    <xdr:rowOff>88900</xdr:rowOff>
                  </to>
                </anchor>
              </controlPr>
            </control>
          </mc:Choice>
        </mc:AlternateContent>
        <mc:AlternateContent xmlns:mc="http://schemas.openxmlformats.org/markup-compatibility/2006">
          <mc:Choice Requires="x14">
            <control shapeId="14381" r:id="rId38" name="Check Box 45">
              <controlPr locked="0" defaultSize="0" autoFill="0" autoLine="0" autoPict="0">
                <anchor moveWithCells="1">
                  <from>
                    <xdr:col>2</xdr:col>
                    <xdr:colOff>647700</xdr:colOff>
                    <xdr:row>29</xdr:row>
                    <xdr:rowOff>114300</xdr:rowOff>
                  </from>
                  <to>
                    <xdr:col>3</xdr:col>
                    <xdr:colOff>800100</xdr:colOff>
                    <xdr:row>31</xdr:row>
                    <xdr:rowOff>88900</xdr:rowOff>
                  </to>
                </anchor>
              </controlPr>
            </control>
          </mc:Choice>
        </mc:AlternateContent>
        <mc:AlternateContent xmlns:mc="http://schemas.openxmlformats.org/markup-compatibility/2006">
          <mc:Choice Requires="x14">
            <control shapeId="14382" r:id="rId39" name="Check Box 46">
              <controlPr locked="0" defaultSize="0" autoFill="0" autoLine="0" autoPict="0">
                <anchor moveWithCells="1">
                  <from>
                    <xdr:col>2</xdr:col>
                    <xdr:colOff>647700</xdr:colOff>
                    <xdr:row>31</xdr:row>
                    <xdr:rowOff>101600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0" name="Check Box 47">
              <controlPr locked="0" defaultSize="0" autoFill="0" autoLine="0" autoPict="0">
                <anchor moveWithCells="1">
                  <from>
                    <xdr:col>2</xdr:col>
                    <xdr:colOff>647700</xdr:colOff>
                    <xdr:row>33</xdr:row>
                    <xdr:rowOff>101600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1" name="Check Box 48">
              <controlPr locked="0" defaultSize="0" autoFill="0" autoLine="0" autoPict="0">
                <anchor moveWithCells="1">
                  <from>
                    <xdr:col>2</xdr:col>
                    <xdr:colOff>660400</xdr:colOff>
                    <xdr:row>35</xdr:row>
                    <xdr:rowOff>127000</xdr:rowOff>
                  </from>
                  <to>
                    <xdr:col>3</xdr:col>
                    <xdr:colOff>812800</xdr:colOff>
                    <xdr:row>37</xdr:row>
                    <xdr:rowOff>101600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owColHeaders="0" showRuler="0" view="pageLayout" topLeftCell="A53" zoomScale="110" zoomScaleNormal="100" zoomScalePageLayoutView="110" workbookViewId="0">
      <selection activeCell="D72" sqref="D72"/>
    </sheetView>
  </sheetViews>
  <sheetFormatPr baseColWidth="10" defaultColWidth="11" defaultRowHeight="16" x14ac:dyDescent="0.2"/>
  <cols>
    <col min="2" max="2" width="38.33203125" customWidth="1"/>
    <col min="3" max="5" width="18.1640625" customWidth="1"/>
    <col min="7" max="23" width="10.83203125" customWidth="1"/>
  </cols>
  <sheetData>
    <row r="1" spans="1:6" ht="19" x14ac:dyDescent="0.25">
      <c r="A1" s="285" t="s">
        <v>1869</v>
      </c>
      <c r="B1" s="285"/>
      <c r="C1" s="285"/>
      <c r="D1" s="285"/>
      <c r="E1" s="285"/>
      <c r="F1" s="285"/>
    </row>
    <row r="3" spans="1:6" ht="19" x14ac:dyDescent="0.25">
      <c r="A3" s="5" t="s">
        <v>1870</v>
      </c>
    </row>
    <row r="4" spans="1:6" x14ac:dyDescent="0.2">
      <c r="A4" t="s">
        <v>1871</v>
      </c>
    </row>
    <row r="5" spans="1:6" ht="19" customHeight="1" x14ac:dyDescent="0.2">
      <c r="B5" s="169" t="s">
        <v>2351</v>
      </c>
    </row>
    <row r="7" spans="1:6" ht="86" customHeight="1" x14ac:dyDescent="0.2">
      <c r="A7" s="341" t="s">
        <v>1872</v>
      </c>
      <c r="B7" s="341"/>
      <c r="C7" s="341"/>
      <c r="D7" s="341"/>
      <c r="E7" s="341"/>
      <c r="F7" s="341"/>
    </row>
    <row r="9" spans="1:6" x14ac:dyDescent="0.2">
      <c r="B9" t="s">
        <v>1873</v>
      </c>
      <c r="C9" s="34" t="s">
        <v>959</v>
      </c>
    </row>
    <row r="11" spans="1:6" x14ac:dyDescent="0.2">
      <c r="C11" s="161"/>
      <c r="D11" s="33" t="s">
        <v>1874</v>
      </c>
      <c r="E11" s="35"/>
    </row>
    <row r="14" spans="1:6" ht="19" x14ac:dyDescent="0.25">
      <c r="A14" s="5" t="s">
        <v>1875</v>
      </c>
    </row>
    <row r="16" spans="1:6" ht="43" customHeight="1" x14ac:dyDescent="0.2">
      <c r="A16" s="342" t="s">
        <v>1876</v>
      </c>
      <c r="B16" s="342"/>
      <c r="C16" s="342"/>
      <c r="D16" s="342"/>
      <c r="E16" s="342"/>
      <c r="F16" s="342"/>
    </row>
    <row r="17" spans="1:6" ht="37" customHeight="1" x14ac:dyDescent="0.2">
      <c r="A17" s="343" t="s">
        <v>1877</v>
      </c>
      <c r="B17" s="343"/>
      <c r="C17" s="343"/>
      <c r="D17" s="343"/>
      <c r="E17" s="343"/>
      <c r="F17" s="343"/>
    </row>
    <row r="18" spans="1:6" x14ac:dyDescent="0.2">
      <c r="A18" s="344" t="s">
        <v>1878</v>
      </c>
      <c r="B18" s="344"/>
      <c r="C18" s="344"/>
      <c r="D18" s="344"/>
      <c r="E18" s="344"/>
      <c r="F18" s="344"/>
    </row>
    <row r="19" spans="1:6" ht="37" customHeight="1" x14ac:dyDescent="0.2">
      <c r="A19" s="343" t="s">
        <v>1879</v>
      </c>
      <c r="B19" s="343"/>
      <c r="C19" s="343"/>
      <c r="D19" s="343"/>
      <c r="E19" s="343"/>
      <c r="F19" s="343"/>
    </row>
    <row r="20" spans="1:6" x14ac:dyDescent="0.2">
      <c r="A20" s="344" t="s">
        <v>1880</v>
      </c>
      <c r="B20" s="344"/>
      <c r="C20" s="344"/>
      <c r="D20" s="344"/>
      <c r="E20" s="344"/>
      <c r="F20" s="344"/>
    </row>
    <row r="22" spans="1:6" x14ac:dyDescent="0.2">
      <c r="C22" s="2" t="s">
        <v>1881</v>
      </c>
      <c r="D22" s="2" t="s">
        <v>1882</v>
      </c>
    </row>
    <row r="23" spans="1:6" x14ac:dyDescent="0.2">
      <c r="B23" s="45" t="s">
        <v>1883</v>
      </c>
      <c r="C23" s="45"/>
      <c r="D23" s="45"/>
    </row>
    <row r="24" spans="1:6" x14ac:dyDescent="0.2">
      <c r="B24" s="33" t="s">
        <v>1884</v>
      </c>
      <c r="C24" s="165">
        <v>54300</v>
      </c>
      <c r="D24" s="165">
        <v>54300</v>
      </c>
    </row>
    <row r="25" spans="1:6" x14ac:dyDescent="0.2">
      <c r="B25" s="45" t="s">
        <v>1885</v>
      </c>
      <c r="C25" s="162"/>
      <c r="D25" s="162"/>
    </row>
    <row r="26" spans="1:6" x14ac:dyDescent="0.2">
      <c r="B26" s="33" t="s">
        <v>1886</v>
      </c>
      <c r="C26" s="165"/>
      <c r="D26" s="165"/>
    </row>
    <row r="27" spans="1:6" x14ac:dyDescent="0.2">
      <c r="B27" s="33" t="s">
        <v>1887</v>
      </c>
      <c r="C27" s="165"/>
      <c r="D27" s="165"/>
    </row>
    <row r="28" spans="1:6" x14ac:dyDescent="0.2">
      <c r="B28" s="33" t="s">
        <v>1888</v>
      </c>
      <c r="C28" s="165"/>
      <c r="D28" s="165"/>
    </row>
    <row r="29" spans="1:6" x14ac:dyDescent="0.2">
      <c r="B29" s="33" t="s">
        <v>1889</v>
      </c>
      <c r="C29" s="165"/>
      <c r="D29" s="165"/>
    </row>
    <row r="30" spans="1:6" x14ac:dyDescent="0.2">
      <c r="B30" s="45" t="s">
        <v>1890</v>
      </c>
      <c r="C30" s="162"/>
      <c r="D30" s="162"/>
    </row>
    <row r="31" spans="1:6" x14ac:dyDescent="0.2">
      <c r="B31" s="33" t="s">
        <v>1891</v>
      </c>
      <c r="C31" s="165">
        <v>660</v>
      </c>
      <c r="D31" s="165">
        <v>660</v>
      </c>
    </row>
    <row r="32" spans="1:6" x14ac:dyDescent="0.2">
      <c r="B32" s="33" t="s">
        <v>1892</v>
      </c>
      <c r="C32" s="165">
        <v>14868</v>
      </c>
      <c r="D32" s="165">
        <v>14868</v>
      </c>
    </row>
    <row r="33" spans="1:6" x14ac:dyDescent="0.2">
      <c r="B33" s="33" t="s">
        <v>1893</v>
      </c>
      <c r="C33" s="165">
        <v>7278</v>
      </c>
      <c r="D33" s="165">
        <v>7278</v>
      </c>
    </row>
    <row r="34" spans="1:6" x14ac:dyDescent="0.2">
      <c r="B34" s="33" t="s">
        <v>1894</v>
      </c>
      <c r="C34" s="165">
        <v>7590</v>
      </c>
      <c r="D34" s="165">
        <v>7590</v>
      </c>
    </row>
    <row r="36" spans="1:6" ht="38" customHeight="1" x14ac:dyDescent="0.2">
      <c r="A36" s="288" t="s">
        <v>1895</v>
      </c>
      <c r="B36" s="288"/>
      <c r="C36" s="288"/>
      <c r="D36" s="288"/>
      <c r="E36" s="166"/>
      <c r="F36" s="7"/>
    </row>
    <row r="37" spans="1:6" x14ac:dyDescent="0.2">
      <c r="A37" s="14"/>
      <c r="B37" s="14"/>
      <c r="C37" s="14"/>
      <c r="D37" s="14"/>
      <c r="E37" s="163"/>
      <c r="F37" s="7"/>
    </row>
    <row r="38" spans="1:6" x14ac:dyDescent="0.2">
      <c r="A38" s="288" t="s">
        <v>1896</v>
      </c>
      <c r="B38" s="288"/>
      <c r="C38" s="288"/>
      <c r="D38" s="14"/>
      <c r="E38" s="163"/>
      <c r="F38" s="7"/>
    </row>
    <row r="39" spans="1:6" ht="67" customHeight="1" x14ac:dyDescent="0.2">
      <c r="A39" s="14"/>
      <c r="B39" s="15"/>
      <c r="C39" s="14"/>
      <c r="D39" s="14"/>
      <c r="E39" s="163"/>
      <c r="F39" s="7"/>
    </row>
    <row r="40" spans="1:6" x14ac:dyDescent="0.2">
      <c r="A40" s="14"/>
      <c r="B40" s="14"/>
      <c r="C40" s="14"/>
      <c r="D40" s="14"/>
      <c r="E40" s="163"/>
      <c r="F40" s="7"/>
    </row>
    <row r="41" spans="1:6" ht="19" x14ac:dyDescent="0.25">
      <c r="A41" s="5" t="s">
        <v>1897</v>
      </c>
    </row>
    <row r="42" spans="1:6" x14ac:dyDescent="0.2">
      <c r="A42" t="s">
        <v>1898</v>
      </c>
    </row>
    <row r="44" spans="1:6" x14ac:dyDescent="0.2">
      <c r="B44" s="33" t="s">
        <v>1899</v>
      </c>
      <c r="C44" s="151">
        <v>12</v>
      </c>
    </row>
    <row r="45" spans="1:6" x14ac:dyDescent="0.2">
      <c r="B45" s="33" t="s">
        <v>1900</v>
      </c>
      <c r="C45" s="151"/>
    </row>
    <row r="47" spans="1:6" ht="19" x14ac:dyDescent="0.25">
      <c r="A47" s="5" t="s">
        <v>1901</v>
      </c>
    </row>
    <row r="48" spans="1:6" x14ac:dyDescent="0.2">
      <c r="A48" t="s">
        <v>1902</v>
      </c>
      <c r="D48" s="32" t="s">
        <v>962</v>
      </c>
    </row>
    <row r="50" spans="1:5" ht="19" x14ac:dyDescent="0.25">
      <c r="A50" s="5" t="s">
        <v>1903</v>
      </c>
    </row>
    <row r="51" spans="1:5" x14ac:dyDescent="0.2">
      <c r="A51" t="s">
        <v>1904</v>
      </c>
      <c r="E51" s="32" t="s">
        <v>962</v>
      </c>
    </row>
    <row r="53" spans="1:5" x14ac:dyDescent="0.2">
      <c r="A53" s="10" t="s">
        <v>1905</v>
      </c>
      <c r="E53" s="160"/>
    </row>
    <row r="55" spans="1:5" ht="19" x14ac:dyDescent="0.25">
      <c r="A55" s="5" t="s">
        <v>1906</v>
      </c>
    </row>
    <row r="56" spans="1:5" x14ac:dyDescent="0.2">
      <c r="A56" t="s">
        <v>1907</v>
      </c>
    </row>
    <row r="58" spans="1:5" ht="39" customHeight="1" x14ac:dyDescent="0.2">
      <c r="C58" s="23" t="s">
        <v>1908</v>
      </c>
      <c r="D58" s="23" t="s">
        <v>1909</v>
      </c>
      <c r="E58" s="23" t="s">
        <v>1910</v>
      </c>
    </row>
    <row r="59" spans="1:5" x14ac:dyDescent="0.2">
      <c r="B59" s="1" t="s">
        <v>1911</v>
      </c>
      <c r="C59" s="165">
        <v>400</v>
      </c>
      <c r="D59" s="165">
        <v>400</v>
      </c>
      <c r="E59" s="165">
        <v>400</v>
      </c>
    </row>
    <row r="60" spans="1:5" x14ac:dyDescent="0.2">
      <c r="B60" s="1" t="s">
        <v>1912</v>
      </c>
      <c r="C60" s="170"/>
      <c r="D60" s="170"/>
      <c r="E60" s="165">
        <v>1968</v>
      </c>
    </row>
    <row r="61" spans="1:5" x14ac:dyDescent="0.2">
      <c r="B61" s="1" t="s">
        <v>1913</v>
      </c>
      <c r="C61" s="170"/>
      <c r="D61" s="165">
        <v>3654</v>
      </c>
      <c r="E61" s="165">
        <v>3654</v>
      </c>
    </row>
    <row r="62" spans="1:5" x14ac:dyDescent="0.2">
      <c r="B62" s="1" t="s">
        <v>1914</v>
      </c>
      <c r="C62" s="170"/>
      <c r="D62" s="170"/>
      <c r="E62" s="165">
        <v>5622</v>
      </c>
    </row>
    <row r="63" spans="1:5" x14ac:dyDescent="0.2">
      <c r="B63" s="1" t="s">
        <v>1915</v>
      </c>
      <c r="C63" s="165">
        <v>1200</v>
      </c>
      <c r="D63" s="165">
        <v>1200</v>
      </c>
      <c r="E63" s="165">
        <v>1200</v>
      </c>
    </row>
    <row r="64" spans="1:5" x14ac:dyDescent="0.2">
      <c r="B64" s="1" t="s">
        <v>1916</v>
      </c>
      <c r="C64" s="165">
        <v>1100</v>
      </c>
      <c r="D64" s="165">
        <v>1100</v>
      </c>
      <c r="E64" s="165">
        <v>1100</v>
      </c>
    </row>
    <row r="66" spans="1:6" x14ac:dyDescent="0.2">
      <c r="A66" s="345" t="s">
        <v>1917</v>
      </c>
      <c r="B66" s="345"/>
      <c r="C66" s="345"/>
      <c r="D66" s="345"/>
      <c r="E66" s="345"/>
      <c r="F66" s="345"/>
    </row>
    <row r="68" spans="1:6" ht="19" x14ac:dyDescent="0.25">
      <c r="A68" s="5" t="s">
        <v>1918</v>
      </c>
    </row>
    <row r="69" spans="1:6" x14ac:dyDescent="0.2">
      <c r="A69" t="s">
        <v>1919</v>
      </c>
    </row>
    <row r="71" spans="1:6" x14ac:dyDescent="0.2">
      <c r="B71" s="164" t="s">
        <v>1920</v>
      </c>
      <c r="C71" s="45"/>
    </row>
    <row r="72" spans="1:6" x14ac:dyDescent="0.2">
      <c r="B72" s="338" t="s">
        <v>1921</v>
      </c>
      <c r="C72" s="338"/>
      <c r="D72" s="165">
        <v>2263</v>
      </c>
    </row>
    <row r="73" spans="1:6" x14ac:dyDescent="0.2">
      <c r="B73" s="164" t="s">
        <v>1922</v>
      </c>
      <c r="C73" s="164"/>
      <c r="D73" s="17"/>
    </row>
    <row r="74" spans="1:6" x14ac:dyDescent="0.2">
      <c r="B74" s="338" t="s">
        <v>1923</v>
      </c>
      <c r="C74" s="338"/>
      <c r="D74" s="165"/>
    </row>
    <row r="75" spans="1:6" x14ac:dyDescent="0.2">
      <c r="B75" s="338" t="s">
        <v>1924</v>
      </c>
      <c r="C75" s="338"/>
      <c r="D75" s="165"/>
    </row>
    <row r="76" spans="1:6" x14ac:dyDescent="0.2">
      <c r="B76" s="338" t="s">
        <v>1925</v>
      </c>
      <c r="C76" s="338"/>
      <c r="D76" s="165"/>
    </row>
    <row r="77" spans="1:6" x14ac:dyDescent="0.2">
      <c r="A77" s="338" t="s">
        <v>1926</v>
      </c>
      <c r="B77" s="338"/>
      <c r="C77" s="346"/>
      <c r="D77" s="165"/>
    </row>
    <row r="79" spans="1:6" ht="19" x14ac:dyDescent="0.25">
      <c r="A79" s="285" t="s">
        <v>1927</v>
      </c>
      <c r="B79" s="285"/>
      <c r="C79" s="285"/>
      <c r="D79" s="285"/>
      <c r="E79" s="285"/>
      <c r="F79" s="285"/>
    </row>
  </sheetData>
  <sheetProtection algorithmName="SHA-512" hashValue="NdTkOhVgXLhKeIoiAam+yMfj2wzCozjCcvGXWs94acMxvaKh6rX3bb+kiAYAtUnAuyRR7zAmLYT1c2ampyMgtw==" saltValue="zhi+syE/7xmJASilCulZ5Q==" spinCount="100000" sheet="1" formatColumns="0" formatRows="0" selectLockedCells="1"/>
  <mergeCells count="16">
    <mergeCell ref="B74:C74"/>
    <mergeCell ref="B75:C75"/>
    <mergeCell ref="B76:C76"/>
    <mergeCell ref="A79:F79"/>
    <mergeCell ref="A77:C77"/>
    <mergeCell ref="A36:D36"/>
    <mergeCell ref="A66:F66"/>
    <mergeCell ref="B72:C72"/>
    <mergeCell ref="A38:C38"/>
    <mergeCell ref="A19:F19"/>
    <mergeCell ref="A20:F20"/>
    <mergeCell ref="A1:F1"/>
    <mergeCell ref="A7:F7"/>
    <mergeCell ref="A16:F16"/>
    <mergeCell ref="A17:F17"/>
    <mergeCell ref="A18:F18"/>
  </mergeCells>
  <pageMargins left="0.7" right="0.7" top="0.75" bottom="0.75" header="0.3" footer="0.3"/>
  <pageSetup orientation="landscape" horizontalDpi="0" verticalDpi="0"/>
  <headerFooter>
    <oddHeader xml:space="preserve">&amp;C  
</oddHeader>
    <oddFooter xml:space="preserve">&amp;C   </oddFooter>
  </headerFooter>
  <rowBreaks count="1" manualBreakCount="1">
    <brk id="2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7409" r:id="rId3" name="Check Box 1">
              <controlPr locked="0" defaultSize="0" autoFill="0" autoLine="0" autoPict="0">
                <anchor moveWithCells="1">
                  <from>
                    <xdr:col>0</xdr:col>
                    <xdr:colOff>330200</xdr:colOff>
                    <xdr:row>9</xdr:row>
                    <xdr:rowOff>127000</xdr:rowOff>
                  </from>
                  <to>
                    <xdr:col>2</xdr:col>
                    <xdr:colOff>762000</xdr:colOff>
                    <xdr:row>11</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showRowColHeaders="0" showRuler="0" topLeftCell="A237" zoomScaleNormal="100" zoomScalePageLayoutView="110" workbookViewId="0">
      <selection activeCell="D166" sqref="D166"/>
    </sheetView>
  </sheetViews>
  <sheetFormatPr baseColWidth="10" defaultColWidth="10.6640625" defaultRowHeight="16" x14ac:dyDescent="0.2"/>
  <cols>
    <col min="1" max="1" width="17.6640625" customWidth="1"/>
    <col min="2" max="2" width="43.6640625" customWidth="1"/>
    <col min="3" max="3" width="18.6640625" customWidth="1"/>
    <col min="4" max="4" width="18.5" customWidth="1"/>
    <col min="5" max="5" width="16.1640625" customWidth="1"/>
    <col min="6" max="6" width="14.33203125" customWidth="1"/>
    <col min="7" max="7" width="25.33203125" customWidth="1"/>
    <col min="8" max="24" width="10.6640625" customWidth="1"/>
  </cols>
  <sheetData>
    <row r="1" spans="1:6" ht="19" x14ac:dyDescent="0.25">
      <c r="A1" s="285" t="s">
        <v>1928</v>
      </c>
      <c r="B1" s="285"/>
      <c r="C1" s="285"/>
      <c r="D1" s="285"/>
      <c r="E1" s="285"/>
      <c r="F1" s="5"/>
    </row>
    <row r="2" spans="1:6" ht="409.5" customHeight="1" x14ac:dyDescent="0.2">
      <c r="A2" s="288" t="s">
        <v>1929</v>
      </c>
      <c r="B2" s="288"/>
      <c r="C2" s="288"/>
      <c r="D2" s="288"/>
      <c r="E2" s="288"/>
      <c r="F2" s="7"/>
    </row>
    <row r="3" spans="1:6" x14ac:dyDescent="0.2">
      <c r="A3" s="288"/>
      <c r="B3" s="288"/>
      <c r="C3" s="288"/>
      <c r="D3" s="288"/>
      <c r="E3" s="288"/>
      <c r="F3" s="7"/>
    </row>
    <row r="4" spans="1:6" x14ac:dyDescent="0.2">
      <c r="A4" s="288"/>
      <c r="B4" s="288"/>
      <c r="C4" s="288"/>
      <c r="D4" s="288"/>
      <c r="E4" s="288"/>
      <c r="F4" s="7"/>
    </row>
    <row r="5" spans="1:6" x14ac:dyDescent="0.2">
      <c r="A5" s="288"/>
      <c r="B5" s="288"/>
      <c r="C5" s="288"/>
      <c r="D5" s="288"/>
      <c r="E5" s="288"/>
      <c r="F5" s="7"/>
    </row>
    <row r="6" spans="1:6" x14ac:dyDescent="0.2">
      <c r="A6" s="288"/>
      <c r="B6" s="288"/>
      <c r="C6" s="288"/>
      <c r="D6" s="288"/>
      <c r="E6" s="288"/>
      <c r="F6" s="7"/>
    </row>
    <row r="7" spans="1:6" x14ac:dyDescent="0.2">
      <c r="A7" s="288"/>
      <c r="B7" s="288"/>
      <c r="C7" s="288"/>
      <c r="D7" s="288"/>
      <c r="E7" s="288"/>
      <c r="F7" s="7"/>
    </row>
    <row r="8" spans="1:6" x14ac:dyDescent="0.2">
      <c r="A8" s="288"/>
      <c r="B8" s="288"/>
      <c r="C8" s="288"/>
      <c r="D8" s="288"/>
      <c r="E8" s="288"/>
      <c r="F8" s="7"/>
    </row>
    <row r="9" spans="1:6" ht="16" customHeight="1" x14ac:dyDescent="0.2">
      <c r="A9" s="310" t="s">
        <v>1930</v>
      </c>
      <c r="B9" s="310"/>
      <c r="C9" s="310"/>
      <c r="D9" s="310"/>
      <c r="E9" s="310"/>
      <c r="F9" s="172"/>
    </row>
    <row r="10" spans="1:6" x14ac:dyDescent="0.2">
      <c r="A10" s="310"/>
      <c r="B10" s="310"/>
      <c r="C10" s="310"/>
      <c r="D10" s="310"/>
      <c r="E10" s="310"/>
      <c r="F10" s="172"/>
    </row>
    <row r="11" spans="1:6" x14ac:dyDescent="0.2">
      <c r="A11" s="310"/>
      <c r="B11" s="310"/>
      <c r="C11" s="310"/>
      <c r="D11" s="310"/>
      <c r="E11" s="310"/>
      <c r="F11" s="172"/>
    </row>
    <row r="12" spans="1:6" x14ac:dyDescent="0.2">
      <c r="A12" s="310"/>
      <c r="B12" s="310"/>
      <c r="C12" s="310"/>
      <c r="D12" s="310"/>
      <c r="E12" s="310"/>
      <c r="F12" s="172"/>
    </row>
    <row r="13" spans="1:6" x14ac:dyDescent="0.2">
      <c r="A13" s="310"/>
      <c r="B13" s="310"/>
      <c r="C13" s="310"/>
      <c r="D13" s="310"/>
      <c r="E13" s="310"/>
      <c r="F13" s="172"/>
    </row>
    <row r="14" spans="1:6" x14ac:dyDescent="0.2">
      <c r="A14" s="310"/>
      <c r="B14" s="310"/>
      <c r="C14" s="310"/>
      <c r="D14" s="310"/>
      <c r="E14" s="310"/>
      <c r="F14" s="172"/>
    </row>
    <row r="15" spans="1:6" x14ac:dyDescent="0.2">
      <c r="A15" s="310"/>
      <c r="B15" s="310"/>
      <c r="C15" s="310"/>
      <c r="D15" s="310"/>
      <c r="E15" s="310"/>
      <c r="F15" s="172"/>
    </row>
    <row r="16" spans="1:6" x14ac:dyDescent="0.2">
      <c r="A16" s="310"/>
      <c r="B16" s="310"/>
      <c r="C16" s="310"/>
      <c r="D16" s="310"/>
      <c r="E16" s="310"/>
      <c r="F16" s="172"/>
    </row>
    <row r="17" spans="1:10" x14ac:dyDescent="0.2">
      <c r="A17" s="310"/>
      <c r="B17" s="310"/>
      <c r="C17" s="310"/>
      <c r="D17" s="310"/>
      <c r="E17" s="310"/>
      <c r="F17" s="172"/>
    </row>
    <row r="18" spans="1:10" x14ac:dyDescent="0.2">
      <c r="A18" s="310"/>
      <c r="B18" s="310"/>
      <c r="C18" s="310"/>
      <c r="D18" s="310"/>
      <c r="E18" s="310"/>
      <c r="F18" s="172"/>
    </row>
    <row r="19" spans="1:10" x14ac:dyDescent="0.2">
      <c r="A19" s="310"/>
      <c r="B19" s="310"/>
      <c r="C19" s="310"/>
      <c r="D19" s="310"/>
      <c r="E19" s="310"/>
      <c r="F19" s="172"/>
    </row>
    <row r="20" spans="1:10" x14ac:dyDescent="0.2">
      <c r="A20" s="310"/>
      <c r="B20" s="310"/>
      <c r="C20" s="310"/>
      <c r="D20" s="310"/>
      <c r="E20" s="310"/>
      <c r="F20" s="172"/>
    </row>
    <row r="21" spans="1:10" x14ac:dyDescent="0.2">
      <c r="A21" s="310"/>
      <c r="B21" s="310"/>
      <c r="C21" s="310"/>
      <c r="D21" s="310"/>
      <c r="E21" s="310"/>
      <c r="F21" s="172"/>
    </row>
    <row r="22" spans="1:10" x14ac:dyDescent="0.2">
      <c r="A22" s="310"/>
      <c r="B22" s="310"/>
      <c r="C22" s="310"/>
      <c r="D22" s="310"/>
      <c r="E22" s="310"/>
      <c r="F22" s="172"/>
    </row>
    <row r="23" spans="1:10" x14ac:dyDescent="0.2">
      <c r="A23" s="310"/>
      <c r="B23" s="310"/>
      <c r="C23" s="310"/>
      <c r="D23" s="310"/>
      <c r="E23" s="310"/>
      <c r="F23" s="172"/>
    </row>
    <row r="24" spans="1:10" x14ac:dyDescent="0.2">
      <c r="A24" s="310"/>
      <c r="B24" s="310"/>
      <c r="C24" s="310"/>
      <c r="D24" s="310"/>
      <c r="E24" s="310"/>
      <c r="F24" s="172"/>
    </row>
    <row r="25" spans="1:10" x14ac:dyDescent="0.2">
      <c r="A25" s="310"/>
      <c r="B25" s="310"/>
      <c r="C25" s="310"/>
      <c r="D25" s="310"/>
      <c r="E25" s="310"/>
      <c r="F25" s="172"/>
    </row>
    <row r="26" spans="1:10" x14ac:dyDescent="0.2">
      <c r="A26" s="310"/>
      <c r="B26" s="310"/>
      <c r="C26" s="310"/>
      <c r="D26" s="310"/>
      <c r="E26" s="310"/>
      <c r="F26" s="172"/>
    </row>
    <row r="27" spans="1:10" x14ac:dyDescent="0.2">
      <c r="A27" s="310"/>
      <c r="B27" s="310"/>
      <c r="C27" s="310"/>
      <c r="D27" s="310"/>
      <c r="E27" s="310"/>
      <c r="F27" s="172"/>
    </row>
    <row r="28" spans="1:10" x14ac:dyDescent="0.2">
      <c r="A28" s="310"/>
      <c r="B28" s="310"/>
      <c r="C28" s="310"/>
      <c r="D28" s="310"/>
      <c r="E28" s="310"/>
      <c r="F28" s="172"/>
    </row>
    <row r="29" spans="1:10" x14ac:dyDescent="0.2">
      <c r="A29" s="172"/>
      <c r="B29" s="172"/>
      <c r="C29" s="172"/>
      <c r="D29" s="172"/>
      <c r="E29" s="172"/>
      <c r="F29" s="172"/>
    </row>
    <row r="30" spans="1:10" ht="19" x14ac:dyDescent="0.25">
      <c r="A30" s="5" t="s">
        <v>1931</v>
      </c>
      <c r="B30" s="5"/>
      <c r="C30" s="172"/>
      <c r="D30" s="172"/>
      <c r="E30" s="172"/>
      <c r="F30" s="173"/>
      <c r="G30" s="173"/>
      <c r="H30" s="173"/>
      <c r="I30" s="173"/>
      <c r="J30" s="173"/>
    </row>
    <row r="31" spans="1:10" ht="19" customHeight="1" x14ac:dyDescent="0.2">
      <c r="A31" s="288" t="s">
        <v>1932</v>
      </c>
      <c r="B31" s="288"/>
      <c r="C31" s="288"/>
      <c r="D31" s="288"/>
      <c r="E31" s="288"/>
      <c r="F31" s="173"/>
      <c r="G31" s="173"/>
      <c r="H31" s="173"/>
      <c r="I31" s="173"/>
      <c r="J31" s="173"/>
    </row>
    <row r="32" spans="1:10" ht="19" customHeight="1" x14ac:dyDescent="0.2">
      <c r="A32" s="288"/>
      <c r="B32" s="288"/>
      <c r="C32" s="288"/>
      <c r="D32" s="288"/>
      <c r="E32" s="288"/>
      <c r="F32" s="173"/>
      <c r="G32" s="173"/>
      <c r="H32" s="173"/>
      <c r="I32" s="173"/>
      <c r="J32" s="173"/>
    </row>
    <row r="33" spans="1:10" ht="19" customHeight="1" x14ac:dyDescent="0.2">
      <c r="A33" s="352" t="s">
        <v>1933</v>
      </c>
      <c r="B33" s="352"/>
      <c r="C33" s="352"/>
      <c r="D33" s="352"/>
      <c r="E33" s="352"/>
      <c r="F33" s="173"/>
      <c r="G33" s="173"/>
      <c r="H33" s="173"/>
      <c r="I33" s="173"/>
      <c r="J33" s="173"/>
    </row>
    <row r="34" spans="1:10" x14ac:dyDescent="0.2">
      <c r="A34" s="352"/>
      <c r="B34" s="352"/>
      <c r="C34" s="352"/>
      <c r="D34" s="352"/>
      <c r="E34" s="352"/>
      <c r="F34" s="173"/>
      <c r="G34" s="173"/>
      <c r="H34" s="173"/>
      <c r="I34" s="173"/>
      <c r="J34" s="173"/>
    </row>
    <row r="35" spans="1:10" ht="19" customHeight="1" x14ac:dyDescent="0.2">
      <c r="A35" s="348" t="s">
        <v>1934</v>
      </c>
      <c r="B35" s="348"/>
      <c r="C35" s="348"/>
      <c r="D35" s="348"/>
      <c r="E35" s="348"/>
      <c r="F35" s="172"/>
    </row>
    <row r="36" spans="1:10" ht="19" customHeight="1" x14ac:dyDescent="0.2">
      <c r="A36" s="348" t="s">
        <v>1935</v>
      </c>
      <c r="B36" s="348"/>
      <c r="C36" s="348"/>
      <c r="D36" s="348"/>
      <c r="E36" s="348"/>
      <c r="F36" s="172"/>
    </row>
    <row r="37" spans="1:10" ht="16" customHeight="1" x14ac:dyDescent="0.2">
      <c r="A37" s="348" t="s">
        <v>1936</v>
      </c>
      <c r="B37" s="348"/>
      <c r="C37" s="348"/>
      <c r="D37" s="348"/>
      <c r="E37" s="348"/>
      <c r="F37" s="172"/>
    </row>
    <row r="38" spans="1:10" x14ac:dyDescent="0.2">
      <c r="A38" s="348"/>
      <c r="B38" s="348"/>
      <c r="C38" s="348"/>
      <c r="D38" s="348"/>
      <c r="E38" s="348"/>
      <c r="F38" s="172"/>
    </row>
    <row r="39" spans="1:10" x14ac:dyDescent="0.2">
      <c r="A39" s="174"/>
      <c r="B39" s="174"/>
      <c r="C39" s="174"/>
      <c r="D39" s="174"/>
      <c r="E39" s="174"/>
      <c r="F39" s="172"/>
    </row>
    <row r="40" spans="1:10" x14ac:dyDescent="0.2">
      <c r="A40" s="349" t="s">
        <v>1937</v>
      </c>
      <c r="B40" s="349"/>
      <c r="C40" s="349"/>
      <c r="D40" s="349"/>
      <c r="E40" s="349"/>
    </row>
    <row r="41" spans="1:10" x14ac:dyDescent="0.2">
      <c r="A41" s="37" t="s">
        <v>1938</v>
      </c>
    </row>
    <row r="43" spans="1:10" x14ac:dyDescent="0.2">
      <c r="B43" s="11" t="s">
        <v>960</v>
      </c>
    </row>
    <row r="45" spans="1:10" x14ac:dyDescent="0.2">
      <c r="A45" t="s">
        <v>1939</v>
      </c>
    </row>
    <row r="47" spans="1:10" x14ac:dyDescent="0.2">
      <c r="B47" s="11" t="s">
        <v>961</v>
      </c>
    </row>
    <row r="49" spans="1:4" ht="78" customHeight="1" x14ac:dyDescent="0.2">
      <c r="A49" s="354" t="s">
        <v>1931</v>
      </c>
      <c r="B49" s="354"/>
      <c r="C49" s="168" t="s">
        <v>1940</v>
      </c>
      <c r="D49" s="168" t="s">
        <v>1941</v>
      </c>
    </row>
    <row r="50" spans="1:4" ht="16" customHeight="1" x14ac:dyDescent="0.2">
      <c r="A50" s="353" t="s">
        <v>1942</v>
      </c>
      <c r="B50" s="175" t="s">
        <v>1943</v>
      </c>
      <c r="C50" s="187">
        <v>2671465.1</v>
      </c>
      <c r="D50" s="187">
        <v>378091.15</v>
      </c>
    </row>
    <row r="51" spans="1:4" ht="34" x14ac:dyDescent="0.2">
      <c r="A51" s="353"/>
      <c r="B51" s="176" t="s">
        <v>1944</v>
      </c>
      <c r="C51" s="187">
        <v>1154927.82</v>
      </c>
      <c r="D51" s="187">
        <v>108760.82</v>
      </c>
    </row>
    <row r="52" spans="1:4" ht="84" customHeight="1" x14ac:dyDescent="0.2">
      <c r="A52" s="353"/>
      <c r="B52" s="176" t="s">
        <v>1945</v>
      </c>
      <c r="C52" s="187">
        <v>24873219.449999999</v>
      </c>
      <c r="D52" s="187">
        <v>5423301.5499999998</v>
      </c>
    </row>
    <row r="53" spans="1:4" ht="51" x14ac:dyDescent="0.2">
      <c r="A53" s="353"/>
      <c r="B53" s="176" t="s">
        <v>1946</v>
      </c>
      <c r="C53" s="187">
        <v>569642.11</v>
      </c>
      <c r="D53" s="187">
        <v>299247.05</v>
      </c>
    </row>
    <row r="54" spans="1:4" ht="17" x14ac:dyDescent="0.2">
      <c r="A54" s="353"/>
      <c r="B54" s="177" t="s">
        <v>1947</v>
      </c>
      <c r="C54" s="188">
        <f>SUM(C50:C53)</f>
        <v>29269254.479999997</v>
      </c>
      <c r="D54" s="188">
        <f>SUM(D50:D53)</f>
        <v>6209400.5699999994</v>
      </c>
    </row>
    <row r="55" spans="1:4" ht="34" x14ac:dyDescent="0.2">
      <c r="A55" s="350" t="s">
        <v>1948</v>
      </c>
      <c r="B55" s="176" t="s">
        <v>1949</v>
      </c>
      <c r="C55" s="165">
        <v>3749667</v>
      </c>
      <c r="D55" s="165">
        <v>1555875</v>
      </c>
    </row>
    <row r="56" spans="1:4" x14ac:dyDescent="0.2">
      <c r="A56" s="350"/>
      <c r="B56" s="175" t="s">
        <v>1950</v>
      </c>
      <c r="C56" s="280">
        <v>1520294</v>
      </c>
      <c r="D56" s="170"/>
    </row>
    <row r="57" spans="1:4" ht="51" x14ac:dyDescent="0.2">
      <c r="A57" s="350"/>
      <c r="B57" s="176" t="s">
        <v>1951</v>
      </c>
      <c r="C57" s="165">
        <v>180211</v>
      </c>
      <c r="D57" s="165">
        <v>108515</v>
      </c>
    </row>
    <row r="58" spans="1:4" x14ac:dyDescent="0.2">
      <c r="A58" s="350"/>
      <c r="B58" s="178" t="s">
        <v>1952</v>
      </c>
      <c r="C58" s="189">
        <f>SUM(C55:C57)</f>
        <v>5450172</v>
      </c>
      <c r="D58" s="189">
        <f>SUM(D55+D57)</f>
        <v>1664390</v>
      </c>
    </row>
    <row r="59" spans="1:4" x14ac:dyDescent="0.2">
      <c r="A59" s="350" t="s">
        <v>1953</v>
      </c>
      <c r="B59" s="175" t="s">
        <v>1954</v>
      </c>
      <c r="C59" s="165"/>
      <c r="D59" s="280">
        <v>1322884.83</v>
      </c>
    </row>
    <row r="60" spans="1:4" x14ac:dyDescent="0.2">
      <c r="A60" s="350"/>
      <c r="B60" s="175" t="s">
        <v>1955</v>
      </c>
      <c r="C60" s="165">
        <v>1368526</v>
      </c>
      <c r="D60" s="165">
        <v>368508</v>
      </c>
    </row>
    <row r="61" spans="1:4" x14ac:dyDescent="0.2">
      <c r="A61" s="350"/>
      <c r="B61" s="175" t="s">
        <v>1956</v>
      </c>
      <c r="C61" s="165"/>
      <c r="D61" s="165"/>
    </row>
    <row r="64" spans="1:4" ht="19" x14ac:dyDescent="0.25">
      <c r="A64" s="5" t="s">
        <v>1957</v>
      </c>
    </row>
    <row r="65" spans="1:5" x14ac:dyDescent="0.2">
      <c r="A65" s="288" t="s">
        <v>1958</v>
      </c>
      <c r="B65" s="288"/>
      <c r="C65" s="288"/>
      <c r="D65" s="288"/>
      <c r="E65" s="288"/>
    </row>
    <row r="66" spans="1:5" x14ac:dyDescent="0.2">
      <c r="A66" s="288"/>
      <c r="B66" s="288"/>
      <c r="C66" s="288"/>
      <c r="D66" s="288"/>
      <c r="E66" s="288"/>
    </row>
    <row r="67" spans="1:5" x14ac:dyDescent="0.2">
      <c r="A67" s="351" t="s">
        <v>1959</v>
      </c>
      <c r="B67" s="351"/>
      <c r="C67" s="351"/>
      <c r="D67" s="351"/>
      <c r="E67" s="351"/>
    </row>
    <row r="68" spans="1:5" x14ac:dyDescent="0.2">
      <c r="A68" s="351" t="s">
        <v>1960</v>
      </c>
      <c r="B68" s="351"/>
      <c r="C68" s="351"/>
      <c r="D68" s="351"/>
      <c r="E68" s="351"/>
    </row>
    <row r="69" spans="1:5" x14ac:dyDescent="0.2">
      <c r="A69" s="352" t="s">
        <v>1961</v>
      </c>
      <c r="B69" s="352"/>
      <c r="C69" s="352"/>
      <c r="D69" s="352"/>
      <c r="E69" s="352"/>
    </row>
    <row r="70" spans="1:5" x14ac:dyDescent="0.2">
      <c r="A70" s="352"/>
      <c r="B70" s="352"/>
      <c r="C70" s="352"/>
      <c r="D70" s="352"/>
      <c r="E70" s="352"/>
    </row>
    <row r="71" spans="1:5" x14ac:dyDescent="0.2">
      <c r="A71" s="347" t="s">
        <v>1962</v>
      </c>
      <c r="B71" s="347"/>
      <c r="C71" s="347"/>
      <c r="D71" s="347"/>
      <c r="E71" s="347"/>
    </row>
    <row r="73" spans="1:5" ht="51" x14ac:dyDescent="0.2">
      <c r="C73" s="179" t="s">
        <v>1963</v>
      </c>
      <c r="D73" s="179" t="s">
        <v>1964</v>
      </c>
      <c r="E73" s="179" t="s">
        <v>1965</v>
      </c>
    </row>
    <row r="74" spans="1:5" ht="51" customHeight="1" x14ac:dyDescent="0.2">
      <c r="A74" s="22"/>
      <c r="B74" s="61" t="s">
        <v>1966</v>
      </c>
      <c r="C74" s="40">
        <v>283</v>
      </c>
      <c r="D74" s="40">
        <v>1153</v>
      </c>
      <c r="E74" s="40">
        <v>58</v>
      </c>
    </row>
    <row r="75" spans="1:5" ht="51" customHeight="1" x14ac:dyDescent="0.2">
      <c r="A75" s="22"/>
      <c r="B75" s="61" t="s">
        <v>1967</v>
      </c>
      <c r="C75" s="40">
        <v>255</v>
      </c>
      <c r="D75" s="40">
        <v>944</v>
      </c>
      <c r="E75" s="40">
        <v>30</v>
      </c>
    </row>
    <row r="76" spans="1:5" ht="51" customHeight="1" x14ac:dyDescent="0.2">
      <c r="A76" s="22"/>
      <c r="B76" s="61" t="s">
        <v>1968</v>
      </c>
      <c r="C76" s="40">
        <v>225</v>
      </c>
      <c r="D76" s="40">
        <v>828</v>
      </c>
      <c r="E76" s="40">
        <v>25</v>
      </c>
    </row>
    <row r="77" spans="1:5" ht="51" customHeight="1" x14ac:dyDescent="0.2">
      <c r="A77" s="22"/>
      <c r="B77" s="61" t="s">
        <v>1969</v>
      </c>
      <c r="C77" s="40">
        <v>225</v>
      </c>
      <c r="D77" s="40">
        <v>828</v>
      </c>
      <c r="E77" s="40">
        <v>24</v>
      </c>
    </row>
    <row r="78" spans="1:5" ht="51" customHeight="1" x14ac:dyDescent="0.2">
      <c r="A78" s="22"/>
      <c r="B78" s="61" t="s">
        <v>1970</v>
      </c>
      <c r="C78" s="40">
        <v>225</v>
      </c>
      <c r="D78" s="40">
        <v>828</v>
      </c>
      <c r="E78" s="40">
        <v>24</v>
      </c>
    </row>
    <row r="79" spans="1:5" ht="51" customHeight="1" x14ac:dyDescent="0.2">
      <c r="A79" s="22"/>
      <c r="B79" s="61" t="s">
        <v>1971</v>
      </c>
      <c r="C79" s="190">
        <v>165</v>
      </c>
      <c r="D79" s="190">
        <v>631</v>
      </c>
      <c r="E79" s="190">
        <v>20</v>
      </c>
    </row>
    <row r="80" spans="1:5" ht="51" customHeight="1" x14ac:dyDescent="0.2">
      <c r="A80" s="22"/>
      <c r="B80" s="61" t="s">
        <v>1972</v>
      </c>
      <c r="C80" s="190">
        <v>50</v>
      </c>
      <c r="D80" s="190">
        <v>163</v>
      </c>
      <c r="E80" s="190">
        <v>1</v>
      </c>
    </row>
    <row r="81" spans="1:5" ht="51" customHeight="1" x14ac:dyDescent="0.2">
      <c r="A81" s="22"/>
      <c r="B81" s="61" t="s">
        <v>1973</v>
      </c>
      <c r="C81" s="190">
        <v>96</v>
      </c>
      <c r="D81" s="190">
        <v>344</v>
      </c>
      <c r="E81" s="190">
        <v>8</v>
      </c>
    </row>
    <row r="82" spans="1:5" ht="113" customHeight="1" x14ac:dyDescent="0.2">
      <c r="A82" s="22"/>
      <c r="B82" s="61" t="s">
        <v>1974</v>
      </c>
      <c r="C82" s="109">
        <v>0.92500000000000004</v>
      </c>
      <c r="D82" s="109">
        <v>0.93200000000000005</v>
      </c>
      <c r="E82" s="109">
        <v>0.86899999999999999</v>
      </c>
    </row>
    <row r="83" spans="1:5" ht="76" customHeight="1" x14ac:dyDescent="0.2">
      <c r="A83" s="22"/>
      <c r="B83" s="61" t="s">
        <v>1975</v>
      </c>
      <c r="C83" s="165">
        <v>52433.93</v>
      </c>
      <c r="D83" s="165">
        <v>51761.2</v>
      </c>
      <c r="E83" s="165">
        <v>41992.74</v>
      </c>
    </row>
    <row r="84" spans="1:5" ht="51" customHeight="1" x14ac:dyDescent="0.2">
      <c r="A84" s="22"/>
      <c r="B84" s="61" t="s">
        <v>1976</v>
      </c>
      <c r="C84" s="165">
        <v>39179.33</v>
      </c>
      <c r="D84" s="165">
        <v>38746.53</v>
      </c>
      <c r="E84" s="165">
        <v>30959.34</v>
      </c>
    </row>
    <row r="85" spans="1:5" ht="51" customHeight="1" x14ac:dyDescent="0.2">
      <c r="A85" s="22"/>
      <c r="B85" s="61" t="s">
        <v>1977</v>
      </c>
      <c r="C85" s="165">
        <v>2852.24</v>
      </c>
      <c r="D85" s="165">
        <v>3420.77</v>
      </c>
      <c r="E85" s="165">
        <v>2843.49</v>
      </c>
    </row>
    <row r="86" spans="1:5" ht="67" customHeight="1" x14ac:dyDescent="0.2">
      <c r="A86" s="22"/>
      <c r="B86" s="61" t="s">
        <v>1978</v>
      </c>
      <c r="C86" s="165">
        <v>1577.7</v>
      </c>
      <c r="D86" s="165">
        <v>2124.4299999999998</v>
      </c>
      <c r="E86" s="165">
        <v>2111.5700000000002</v>
      </c>
    </row>
    <row r="88" spans="1:5" ht="19" x14ac:dyDescent="0.25">
      <c r="A88" s="5" t="s">
        <v>1979</v>
      </c>
    </row>
    <row r="89" spans="1:5" x14ac:dyDescent="0.2">
      <c r="A89" s="288" t="s">
        <v>1980</v>
      </c>
      <c r="B89" s="288"/>
      <c r="C89" s="288"/>
      <c r="D89" s="288"/>
      <c r="E89" s="288"/>
    </row>
    <row r="90" spans="1:5" x14ac:dyDescent="0.2">
      <c r="A90" s="288"/>
      <c r="B90" s="288"/>
      <c r="C90" s="288"/>
      <c r="D90" s="288"/>
      <c r="E90" s="288"/>
    </row>
    <row r="91" spans="1:5" x14ac:dyDescent="0.2">
      <c r="A91" s="351" t="s">
        <v>1981</v>
      </c>
      <c r="B91" s="351"/>
      <c r="C91" s="351"/>
      <c r="D91" s="351"/>
      <c r="E91" s="351"/>
    </row>
    <row r="92" spans="1:5" x14ac:dyDescent="0.2">
      <c r="A92" s="352" t="s">
        <v>1982</v>
      </c>
      <c r="B92" s="352"/>
      <c r="C92" s="352"/>
      <c r="D92" s="352"/>
      <c r="E92" s="352"/>
    </row>
    <row r="93" spans="1:5" x14ac:dyDescent="0.2">
      <c r="A93" s="352"/>
      <c r="B93" s="352"/>
      <c r="C93" s="352"/>
      <c r="D93" s="352"/>
      <c r="E93" s="352"/>
    </row>
    <row r="94" spans="1:5" x14ac:dyDescent="0.2">
      <c r="A94" s="347" t="s">
        <v>1983</v>
      </c>
      <c r="B94" s="347"/>
      <c r="C94" s="347"/>
      <c r="D94" s="347"/>
      <c r="E94" s="347"/>
    </row>
    <row r="97" spans="1:5" ht="51" x14ac:dyDescent="0.2">
      <c r="C97" s="179" t="s">
        <v>1963</v>
      </c>
      <c r="D97" s="179" t="s">
        <v>1964</v>
      </c>
      <c r="E97" s="179" t="s">
        <v>1965</v>
      </c>
    </row>
    <row r="98" spans="1:5" ht="84.75" customHeight="1" x14ac:dyDescent="0.2">
      <c r="B98" s="61" t="s">
        <v>1984</v>
      </c>
      <c r="C98" s="190">
        <v>58</v>
      </c>
      <c r="D98" s="190">
        <v>325</v>
      </c>
      <c r="E98" s="190">
        <v>33</v>
      </c>
    </row>
    <row r="99" spans="1:5" ht="84.75" customHeight="1" x14ac:dyDescent="0.2">
      <c r="B99" s="61" t="s">
        <v>1985</v>
      </c>
      <c r="C99" s="165">
        <v>33410.199999999997</v>
      </c>
      <c r="D99" s="165">
        <v>31511.26</v>
      </c>
      <c r="E99" s="165">
        <v>26700</v>
      </c>
    </row>
    <row r="100" spans="1:5" ht="84.75" customHeight="1" x14ac:dyDescent="0.2">
      <c r="B100" s="61" t="s">
        <v>1986</v>
      </c>
      <c r="C100" s="190"/>
      <c r="D100" s="190"/>
      <c r="E100" s="190"/>
    </row>
    <row r="101" spans="1:5" ht="84.75" customHeight="1" x14ac:dyDescent="0.2">
      <c r="B101" s="61" t="s">
        <v>1987</v>
      </c>
      <c r="C101" s="165"/>
      <c r="D101" s="165"/>
      <c r="E101" s="165"/>
    </row>
    <row r="102" spans="1:5" x14ac:dyDescent="0.2">
      <c r="A102" s="1" t="s">
        <v>1988</v>
      </c>
    </row>
    <row r="104" spans="1:5" x14ac:dyDescent="0.2">
      <c r="A104" s="1" t="s">
        <v>1989</v>
      </c>
    </row>
    <row r="105" spans="1:5" x14ac:dyDescent="0.2">
      <c r="A105" s="352" t="s">
        <v>1990</v>
      </c>
      <c r="B105" s="352"/>
      <c r="C105" s="352"/>
      <c r="D105" s="352"/>
      <c r="E105" s="352"/>
    </row>
    <row r="106" spans="1:5" x14ac:dyDescent="0.2">
      <c r="A106" s="352"/>
      <c r="B106" s="352"/>
      <c r="C106" s="352"/>
      <c r="D106" s="352"/>
      <c r="E106" s="352"/>
    </row>
    <row r="107" spans="1:5" x14ac:dyDescent="0.2">
      <c r="A107" s="355" t="s">
        <v>1991</v>
      </c>
      <c r="B107" s="355"/>
      <c r="C107" s="355"/>
      <c r="D107" s="355"/>
      <c r="E107" s="355"/>
    </row>
    <row r="108" spans="1:5" x14ac:dyDescent="0.2">
      <c r="A108" s="351" t="s">
        <v>1992</v>
      </c>
      <c r="B108" s="351"/>
      <c r="C108" s="351"/>
      <c r="D108" s="351"/>
      <c r="E108" s="351"/>
    </row>
    <row r="110" spans="1:5" x14ac:dyDescent="0.2">
      <c r="A110" s="1" t="s">
        <v>1993</v>
      </c>
    </row>
    <row r="111" spans="1:5" x14ac:dyDescent="0.2">
      <c r="A111" s="355" t="s">
        <v>1994</v>
      </c>
      <c r="B111" s="355"/>
      <c r="C111" s="355"/>
      <c r="D111" s="355"/>
      <c r="E111" s="355"/>
    </row>
    <row r="112" spans="1:5" x14ac:dyDescent="0.2">
      <c r="A112" s="355" t="s">
        <v>1995</v>
      </c>
      <c r="B112" s="355"/>
      <c r="C112" s="355"/>
      <c r="D112" s="355"/>
      <c r="E112" s="355"/>
    </row>
    <row r="113" spans="1:5" x14ac:dyDescent="0.2">
      <c r="A113" s="355" t="s">
        <v>1996</v>
      </c>
      <c r="B113" s="355"/>
      <c r="C113" s="355"/>
      <c r="D113" s="355"/>
      <c r="E113" s="355"/>
    </row>
    <row r="114" spans="1:5" x14ac:dyDescent="0.2">
      <c r="A114" s="355" t="s">
        <v>1997</v>
      </c>
      <c r="B114" s="355"/>
      <c r="C114" s="355"/>
      <c r="D114" s="355"/>
      <c r="E114" s="355"/>
    </row>
    <row r="115" spans="1:5" x14ac:dyDescent="0.2">
      <c r="A115" s="355" t="s">
        <v>1998</v>
      </c>
      <c r="B115" s="355"/>
      <c r="C115" s="355"/>
      <c r="D115" s="355"/>
      <c r="E115" s="355"/>
    </row>
    <row r="118" spans="1:5" ht="19" x14ac:dyDescent="0.25">
      <c r="A118" s="5" t="s">
        <v>1999</v>
      </c>
    </row>
    <row r="119" spans="1:5" ht="48" customHeight="1" x14ac:dyDescent="0.2">
      <c r="A119" s="288" t="s">
        <v>2000</v>
      </c>
      <c r="B119" s="288"/>
      <c r="C119" s="288"/>
      <c r="D119" s="281">
        <v>356</v>
      </c>
      <c r="E119" s="7"/>
    </row>
    <row r="120" spans="1:5" x14ac:dyDescent="0.2">
      <c r="A120" s="7"/>
      <c r="B120" s="7"/>
      <c r="C120" s="7"/>
      <c r="D120" s="7"/>
      <c r="E120" s="7"/>
    </row>
    <row r="121" spans="1:5" ht="19" x14ac:dyDescent="0.25">
      <c r="A121" s="5" t="s">
        <v>2001</v>
      </c>
      <c r="B121" s="7"/>
      <c r="C121" s="7"/>
    </row>
    <row r="122" spans="1:5" x14ac:dyDescent="0.2">
      <c r="A122" s="288" t="s">
        <v>2002</v>
      </c>
      <c r="B122" s="288"/>
      <c r="C122" s="288"/>
      <c r="D122" s="288"/>
      <c r="E122" s="288"/>
    </row>
    <row r="123" spans="1:5" x14ac:dyDescent="0.2">
      <c r="A123" s="288"/>
      <c r="B123" s="288"/>
      <c r="C123" s="288"/>
      <c r="D123" s="288"/>
      <c r="E123" s="288"/>
    </row>
    <row r="125" spans="1:5" x14ac:dyDescent="0.2">
      <c r="A125" s="352" t="s">
        <v>2003</v>
      </c>
      <c r="B125" s="352"/>
      <c r="C125" s="352"/>
      <c r="D125" s="352"/>
      <c r="E125" s="352"/>
    </row>
    <row r="126" spans="1:5" x14ac:dyDescent="0.2">
      <c r="A126" s="352"/>
      <c r="B126" s="352"/>
      <c r="C126" s="352"/>
      <c r="D126" s="352"/>
      <c r="E126" s="352"/>
    </row>
    <row r="128" spans="1:5" x14ac:dyDescent="0.2">
      <c r="A128" s="352" t="s">
        <v>2004</v>
      </c>
      <c r="B128" s="352"/>
      <c r="C128" s="352"/>
      <c r="D128" s="352"/>
      <c r="E128" s="352"/>
    </row>
    <row r="129" spans="1:5" x14ac:dyDescent="0.2">
      <c r="A129" s="352"/>
      <c r="B129" s="352"/>
      <c r="C129" s="352"/>
      <c r="D129" s="352"/>
      <c r="E129" s="352"/>
    </row>
    <row r="130" spans="1:5" x14ac:dyDescent="0.2">
      <c r="A130" s="352"/>
      <c r="B130" s="352"/>
      <c r="C130" s="352"/>
      <c r="D130" s="352"/>
      <c r="E130" s="352"/>
    </row>
    <row r="133" spans="1:5" ht="170" x14ac:dyDescent="0.2">
      <c r="B133" s="26" t="s">
        <v>2005</v>
      </c>
      <c r="C133" s="21" t="s">
        <v>2006</v>
      </c>
      <c r="D133" s="21" t="s">
        <v>2007</v>
      </c>
      <c r="E133" s="21" t="s">
        <v>2008</v>
      </c>
    </row>
    <row r="134" spans="1:5" ht="94" customHeight="1" x14ac:dyDescent="0.2">
      <c r="B134" s="180" t="s">
        <v>2009</v>
      </c>
      <c r="C134" s="190">
        <v>209</v>
      </c>
      <c r="D134" s="43">
        <v>0.59</v>
      </c>
      <c r="E134" s="56">
        <v>12554</v>
      </c>
    </row>
    <row r="135" spans="1:5" ht="79" customHeight="1" x14ac:dyDescent="0.2">
      <c r="B135" s="180" t="s">
        <v>2010</v>
      </c>
      <c r="C135" s="190">
        <v>177</v>
      </c>
      <c r="D135" s="43">
        <v>0.5</v>
      </c>
      <c r="E135" s="56">
        <v>4970</v>
      </c>
    </row>
    <row r="136" spans="1:5" ht="47" customHeight="1" x14ac:dyDescent="0.2">
      <c r="B136" s="181" t="s">
        <v>2011</v>
      </c>
      <c r="C136" s="190">
        <v>4</v>
      </c>
      <c r="D136" s="43">
        <v>0.01</v>
      </c>
      <c r="E136" s="56">
        <v>4609</v>
      </c>
    </row>
    <row r="137" spans="1:5" ht="47" customHeight="1" x14ac:dyDescent="0.2">
      <c r="B137" s="181" t="s">
        <v>2012</v>
      </c>
      <c r="C137" s="190">
        <v>61</v>
      </c>
      <c r="D137" s="43">
        <v>0.17</v>
      </c>
      <c r="E137" s="56">
        <v>17303</v>
      </c>
    </row>
    <row r="138" spans="1:5" ht="47" customHeight="1" x14ac:dyDescent="0.2">
      <c r="B138" s="181" t="s">
        <v>2013</v>
      </c>
      <c r="C138" s="190"/>
      <c r="D138" s="43"/>
      <c r="E138" s="56"/>
    </row>
    <row r="139" spans="1:5" ht="29" customHeight="1" x14ac:dyDescent="0.2">
      <c r="B139" s="182"/>
      <c r="C139" s="17"/>
      <c r="D139" s="183"/>
      <c r="E139" s="184"/>
    </row>
    <row r="141" spans="1:5" ht="19" x14ac:dyDescent="0.25">
      <c r="A141" s="5" t="s">
        <v>2014</v>
      </c>
    </row>
    <row r="142" spans="1:5" x14ac:dyDescent="0.2">
      <c r="A142" t="s">
        <v>2015</v>
      </c>
      <c r="D142" s="17"/>
    </row>
    <row r="143" spans="1:5" x14ac:dyDescent="0.2">
      <c r="B143" s="185" t="s">
        <v>2016</v>
      </c>
      <c r="C143" s="124" t="str">
        <f>B43</f>
        <v>2023-2024 Estimated</v>
      </c>
    </row>
    <row r="145" spans="1:5" x14ac:dyDescent="0.2">
      <c r="A145" t="s">
        <v>2017</v>
      </c>
    </row>
    <row r="153" spans="1:5" ht="47" customHeight="1" x14ac:dyDescent="0.2">
      <c r="A153" s="288" t="s">
        <v>2018</v>
      </c>
      <c r="B153" s="288"/>
      <c r="C153" s="288"/>
      <c r="D153" s="191">
        <v>61</v>
      </c>
      <c r="E153" s="7"/>
    </row>
    <row r="154" spans="1:5" x14ac:dyDescent="0.2">
      <c r="A154" s="7"/>
      <c r="B154" s="7"/>
      <c r="C154" s="7"/>
      <c r="D154" s="7"/>
      <c r="E154" s="7"/>
    </row>
    <row r="155" spans="1:5" ht="47" customHeight="1" x14ac:dyDescent="0.2">
      <c r="A155" s="288" t="s">
        <v>2019</v>
      </c>
      <c r="B155" s="288"/>
      <c r="C155" s="288"/>
      <c r="D155" s="280">
        <v>43597.59</v>
      </c>
    </row>
    <row r="156" spans="1:5" x14ac:dyDescent="0.2">
      <c r="A156" s="7"/>
      <c r="B156" s="7"/>
      <c r="C156" s="7"/>
    </row>
    <row r="157" spans="1:5" ht="49" customHeight="1" x14ac:dyDescent="0.2">
      <c r="A157" s="288" t="s">
        <v>2020</v>
      </c>
      <c r="B157" s="288"/>
      <c r="C157" s="288"/>
      <c r="D157" s="280">
        <v>2572258</v>
      </c>
    </row>
    <row r="159" spans="1:5" ht="19" x14ac:dyDescent="0.25">
      <c r="A159" s="5" t="s">
        <v>2021</v>
      </c>
    </row>
    <row r="160" spans="1:5" x14ac:dyDescent="0.2">
      <c r="A160" t="s">
        <v>2022</v>
      </c>
    </row>
    <row r="166" spans="1:4" ht="119" x14ac:dyDescent="0.2">
      <c r="C166" s="33" t="s">
        <v>2023</v>
      </c>
      <c r="D166" s="171" t="s">
        <v>2352</v>
      </c>
    </row>
    <row r="167" spans="1:4" x14ac:dyDescent="0.2">
      <c r="A167" s="33"/>
    </row>
    <row r="168" spans="1:4" ht="19" x14ac:dyDescent="0.25">
      <c r="A168" s="5" t="s">
        <v>2024</v>
      </c>
    </row>
    <row r="169" spans="1:4" x14ac:dyDescent="0.2">
      <c r="A169" t="s">
        <v>2025</v>
      </c>
    </row>
    <row r="177" spans="1:4" x14ac:dyDescent="0.2">
      <c r="B177" s="33" t="s">
        <v>2023</v>
      </c>
      <c r="C177" s="171"/>
    </row>
    <row r="180" spans="1:4" ht="19" x14ac:dyDescent="0.25">
      <c r="A180" s="5" t="s">
        <v>2026</v>
      </c>
    </row>
    <row r="182" spans="1:4" x14ac:dyDescent="0.2">
      <c r="A182" s="186" t="s">
        <v>2027</v>
      </c>
      <c r="D182" s="32" t="s">
        <v>962</v>
      </c>
    </row>
    <row r="183" spans="1:4" x14ac:dyDescent="0.2">
      <c r="A183" s="10" t="s">
        <v>2028</v>
      </c>
      <c r="B183" s="10"/>
    </row>
    <row r="184" spans="1:4" x14ac:dyDescent="0.2">
      <c r="A184" s="186"/>
    </row>
    <row r="185" spans="1:4" x14ac:dyDescent="0.2">
      <c r="A185" t="s">
        <v>2029</v>
      </c>
      <c r="C185" s="62">
        <v>45337</v>
      </c>
    </row>
    <row r="187" spans="1:4" x14ac:dyDescent="0.2">
      <c r="A187" t="s">
        <v>2030</v>
      </c>
      <c r="C187" s="62"/>
    </row>
    <row r="189" spans="1:4" ht="19" x14ac:dyDescent="0.25">
      <c r="A189" s="5" t="s">
        <v>2031</v>
      </c>
    </row>
    <row r="190" spans="1:4" x14ac:dyDescent="0.2">
      <c r="A190" t="s">
        <v>2032</v>
      </c>
    </row>
    <row r="192" spans="1:4" x14ac:dyDescent="0.2">
      <c r="A192" t="s">
        <v>2033</v>
      </c>
      <c r="C192" s="62">
        <v>45611</v>
      </c>
    </row>
    <row r="194" spans="1:3" x14ac:dyDescent="0.2">
      <c r="A194" t="s">
        <v>2034</v>
      </c>
      <c r="C194" s="248"/>
    </row>
    <row r="196" spans="1:3" ht="19" x14ac:dyDescent="0.25">
      <c r="A196" s="5" t="s">
        <v>2035</v>
      </c>
    </row>
    <row r="198" spans="1:3" x14ac:dyDescent="0.2">
      <c r="B198" t="s">
        <v>2036</v>
      </c>
      <c r="C198" s="248">
        <v>45413</v>
      </c>
    </row>
    <row r="199" spans="1:3" x14ac:dyDescent="0.2">
      <c r="B199" t="s">
        <v>2037</v>
      </c>
      <c r="C199" s="252">
        <v>4</v>
      </c>
    </row>
    <row r="200" spans="1:3" ht="19" x14ac:dyDescent="0.25">
      <c r="A200" s="5" t="s">
        <v>2038</v>
      </c>
    </row>
    <row r="201" spans="1:3" x14ac:dyDescent="0.2">
      <c r="A201" t="s">
        <v>2039</v>
      </c>
    </row>
    <row r="209" spans="1:5" ht="51" x14ac:dyDescent="0.2">
      <c r="D209" s="33" t="s">
        <v>2040</v>
      </c>
      <c r="E209" s="171" t="s">
        <v>2353</v>
      </c>
    </row>
    <row r="211" spans="1:5" ht="19" x14ac:dyDescent="0.25">
      <c r="A211" s="5" t="s">
        <v>2041</v>
      </c>
    </row>
    <row r="212" spans="1:5" x14ac:dyDescent="0.2">
      <c r="A212" t="s">
        <v>2039</v>
      </c>
    </row>
    <row r="220" spans="1:5" ht="68" x14ac:dyDescent="0.2">
      <c r="C220" s="33" t="s">
        <v>2040</v>
      </c>
      <c r="D220" s="15" t="s">
        <v>2354</v>
      </c>
    </row>
    <row r="222" spans="1:5" ht="7" customHeight="1" x14ac:dyDescent="0.2"/>
    <row r="223" spans="1:5" ht="19" x14ac:dyDescent="0.25">
      <c r="A223" s="5" t="s">
        <v>2042</v>
      </c>
    </row>
    <row r="224" spans="1:5" x14ac:dyDescent="0.2">
      <c r="A224" t="s">
        <v>2043</v>
      </c>
    </row>
    <row r="233" spans="1:1" ht="19" x14ac:dyDescent="0.25">
      <c r="A233" s="5" t="s">
        <v>2042</v>
      </c>
    </row>
    <row r="234" spans="1:1" x14ac:dyDescent="0.2">
      <c r="A234" t="s">
        <v>2044</v>
      </c>
    </row>
    <row r="246" spans="1:7" ht="19" x14ac:dyDescent="0.25">
      <c r="A246" s="5" t="s">
        <v>2045</v>
      </c>
    </row>
    <row r="248" spans="1:7" ht="16" customHeight="1" x14ac:dyDescent="0.2">
      <c r="A248" s="288" t="s">
        <v>2046</v>
      </c>
      <c r="B248" s="288"/>
      <c r="C248" s="288"/>
      <c r="D248" s="288"/>
      <c r="E248" s="288"/>
    </row>
    <row r="249" spans="1:7" x14ac:dyDescent="0.2">
      <c r="A249" s="288"/>
      <c r="B249" s="288"/>
      <c r="C249" s="288"/>
      <c r="D249" s="288"/>
      <c r="E249" s="288"/>
    </row>
    <row r="250" spans="1:7" x14ac:dyDescent="0.2">
      <c r="A250" s="288"/>
      <c r="B250" s="288"/>
      <c r="C250" s="288"/>
      <c r="D250" s="288"/>
      <c r="E250" s="288"/>
    </row>
    <row r="251" spans="1:7" ht="188" customHeight="1" x14ac:dyDescent="0.2">
      <c r="B251" s="171"/>
    </row>
    <row r="254" spans="1:7" ht="19" x14ac:dyDescent="0.25">
      <c r="A254" s="287" t="s">
        <v>2047</v>
      </c>
      <c r="B254" s="287"/>
      <c r="C254" s="287"/>
      <c r="D254" s="287"/>
      <c r="E254" s="287"/>
      <c r="F254" s="6"/>
      <c r="G254" s="6"/>
    </row>
  </sheetData>
  <sheetProtection algorithmName="SHA-512" hashValue="aBIW3Mazqaf8K/tqTZ5reW8BU0oyjWDCyDOI7rWEzTzOso7TVwjXwof3b+LvhSzK/J/g2EULaTmUPqUA12JIxg==" saltValue="WE0ATLTIxpgZHtCyMS3Xzw==" spinCount="100000" sheet="1" formatColumns="0" formatRows="0" selectLockedCells="1"/>
  <mergeCells count="39">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 ref="A91:E91"/>
    <mergeCell ref="A92:E93"/>
    <mergeCell ref="A94:E94"/>
    <mergeCell ref="A105:E106"/>
    <mergeCell ref="A107:E107"/>
    <mergeCell ref="A1:E1"/>
    <mergeCell ref="A2:E8"/>
    <mergeCell ref="A33:E34"/>
    <mergeCell ref="A50:A54"/>
    <mergeCell ref="A55:A58"/>
    <mergeCell ref="A49:B49"/>
    <mergeCell ref="A35:E35"/>
    <mergeCell ref="A71:E71"/>
    <mergeCell ref="A89:E90"/>
    <mergeCell ref="A36:E36"/>
    <mergeCell ref="A9:E28"/>
    <mergeCell ref="A40:E40"/>
    <mergeCell ref="A37:E38"/>
    <mergeCell ref="A31:E32"/>
    <mergeCell ref="A59:A61"/>
    <mergeCell ref="A65:E66"/>
    <mergeCell ref="A67:E67"/>
    <mergeCell ref="A68:E68"/>
    <mergeCell ref="A69:E70"/>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orientation="landscape" horizontalDpi="0" verticalDpi="0"/>
  <headerFooter>
    <oddHeader xml:space="preserve">&amp;C  
</oddHeader>
    <oddFooter xml:space="preserve">&amp;C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0481" r:id="rId3" name="Check Box 1">
              <controlPr locked="0" defaultSize="0" autoFill="0" autoLine="0" autoPict="0">
                <anchor moveWithCells="1">
                  <from>
                    <xdr:col>0</xdr:col>
                    <xdr:colOff>1320800</xdr:colOff>
                    <xdr:row>145</xdr:row>
                    <xdr:rowOff>127000</xdr:rowOff>
                  </from>
                  <to>
                    <xdr:col>2</xdr:col>
                    <xdr:colOff>1384300</xdr:colOff>
                    <xdr:row>147</xdr:row>
                    <xdr:rowOff>101600</xdr:rowOff>
                  </to>
                </anchor>
              </controlPr>
            </control>
          </mc:Choice>
        </mc:AlternateContent>
        <mc:AlternateContent xmlns:mc="http://schemas.openxmlformats.org/markup-compatibility/2006">
          <mc:Choice Requires="x14">
            <control shapeId="20482" r:id="rId4" name="Check Box 2">
              <controlPr locked="0" defaultSize="0" autoFill="0" autoLine="0" autoPict="0">
                <anchor moveWithCells="1">
                  <from>
                    <xdr:col>0</xdr:col>
                    <xdr:colOff>1308100</xdr:colOff>
                    <xdr:row>147</xdr:row>
                    <xdr:rowOff>114300</xdr:rowOff>
                  </from>
                  <to>
                    <xdr:col>2</xdr:col>
                    <xdr:colOff>1384300</xdr:colOff>
                    <xdr:row>149</xdr:row>
                    <xdr:rowOff>88900</xdr:rowOff>
                  </to>
                </anchor>
              </controlPr>
            </control>
          </mc:Choice>
        </mc:AlternateContent>
        <mc:AlternateContent xmlns:mc="http://schemas.openxmlformats.org/markup-compatibility/2006">
          <mc:Choice Requires="x14">
            <control shapeId="20483" r:id="rId5" name="Check Box 3">
              <controlPr locked="0" defaultSize="0" autoFill="0" autoLine="0" autoPict="0">
                <anchor moveWithCells="1">
                  <from>
                    <xdr:col>0</xdr:col>
                    <xdr:colOff>1308100</xdr:colOff>
                    <xdr:row>149</xdr:row>
                    <xdr:rowOff>114300</xdr:rowOff>
                  </from>
                  <to>
                    <xdr:col>2</xdr:col>
                    <xdr:colOff>1384300</xdr:colOff>
                    <xdr:row>151</xdr:row>
                    <xdr:rowOff>88900</xdr:rowOff>
                  </to>
                </anchor>
              </controlPr>
            </control>
          </mc:Choice>
        </mc:AlternateContent>
        <mc:AlternateContent xmlns:mc="http://schemas.openxmlformats.org/markup-compatibility/2006">
          <mc:Choice Requires="x14">
            <control shapeId="20484" r:id="rId6" name="Check Box 4">
              <controlPr locked="0" defaultSize="0" autoFill="0" autoLine="0" autoPict="0">
                <anchor moveWithCells="1">
                  <from>
                    <xdr:col>0</xdr:col>
                    <xdr:colOff>419100</xdr:colOff>
                    <xdr:row>160</xdr:row>
                    <xdr:rowOff>114300</xdr:rowOff>
                  </from>
                  <to>
                    <xdr:col>1</xdr:col>
                    <xdr:colOff>2032000</xdr:colOff>
                    <xdr:row>162</xdr:row>
                    <xdr:rowOff>88900</xdr:rowOff>
                  </to>
                </anchor>
              </controlPr>
            </control>
          </mc:Choice>
        </mc:AlternateContent>
        <mc:AlternateContent xmlns:mc="http://schemas.openxmlformats.org/markup-compatibility/2006">
          <mc:Choice Requires="x14">
            <control shapeId="20485" r:id="rId7" name="Check Box 5">
              <controlPr locked="0" defaultSize="0" autoFill="0" autoLine="0" autoPict="0">
                <anchor moveWithCells="1">
                  <from>
                    <xdr:col>0</xdr:col>
                    <xdr:colOff>419100</xdr:colOff>
                    <xdr:row>162</xdr:row>
                    <xdr:rowOff>114300</xdr:rowOff>
                  </from>
                  <to>
                    <xdr:col>1</xdr:col>
                    <xdr:colOff>2044700</xdr:colOff>
                    <xdr:row>164</xdr:row>
                    <xdr:rowOff>88900</xdr:rowOff>
                  </to>
                </anchor>
              </controlPr>
            </control>
          </mc:Choice>
        </mc:AlternateContent>
        <mc:AlternateContent xmlns:mc="http://schemas.openxmlformats.org/markup-compatibility/2006">
          <mc:Choice Requires="x14">
            <control shapeId="20488" r:id="rId8" name="Check Box 8">
              <controlPr locked="0" defaultSize="0" autoFill="0" autoLine="0" autoPict="0">
                <anchor moveWithCells="1">
                  <from>
                    <xdr:col>0</xdr:col>
                    <xdr:colOff>419100</xdr:colOff>
                    <xdr:row>164</xdr:row>
                    <xdr:rowOff>50800</xdr:rowOff>
                  </from>
                  <to>
                    <xdr:col>1</xdr:col>
                    <xdr:colOff>2032000</xdr:colOff>
                    <xdr:row>165</xdr:row>
                    <xdr:rowOff>228600</xdr:rowOff>
                  </to>
                </anchor>
              </controlPr>
            </control>
          </mc:Choice>
        </mc:AlternateContent>
        <mc:AlternateContent xmlns:mc="http://schemas.openxmlformats.org/markup-compatibility/2006">
          <mc:Choice Requires="x14">
            <control shapeId="20489" r:id="rId9" name="Check Box 9">
              <controlPr locked="0" defaultSize="0" autoFill="0" autoLine="0" autoPict="0">
                <anchor moveWithCells="1">
                  <from>
                    <xdr:col>0</xdr:col>
                    <xdr:colOff>406400</xdr:colOff>
                    <xdr:row>169</xdr:row>
                    <xdr:rowOff>127000</xdr:rowOff>
                  </from>
                  <to>
                    <xdr:col>1</xdr:col>
                    <xdr:colOff>2019300</xdr:colOff>
                    <xdr:row>171</xdr:row>
                    <xdr:rowOff>101600</xdr:rowOff>
                  </to>
                </anchor>
              </controlPr>
            </control>
          </mc:Choice>
        </mc:AlternateContent>
        <mc:AlternateContent xmlns:mc="http://schemas.openxmlformats.org/markup-compatibility/2006">
          <mc:Choice Requires="x14">
            <control shapeId="20490" r:id="rId10" name="Check Box 10">
              <controlPr locked="0" defaultSize="0" autoFill="0" autoLine="0" autoPict="0">
                <anchor moveWithCells="1">
                  <from>
                    <xdr:col>0</xdr:col>
                    <xdr:colOff>406400</xdr:colOff>
                    <xdr:row>171</xdr:row>
                    <xdr:rowOff>127000</xdr:rowOff>
                  </from>
                  <to>
                    <xdr:col>1</xdr:col>
                    <xdr:colOff>2032000</xdr:colOff>
                    <xdr:row>173</xdr:row>
                    <xdr:rowOff>101600</xdr:rowOff>
                  </to>
                </anchor>
              </controlPr>
            </control>
          </mc:Choice>
        </mc:AlternateContent>
        <mc:AlternateContent xmlns:mc="http://schemas.openxmlformats.org/markup-compatibility/2006">
          <mc:Choice Requires="x14">
            <control shapeId="20491" r:id="rId11" name="Check Box 11">
              <controlPr locked="0" defaultSize="0" autoFill="0" autoLine="0" autoPict="0">
                <anchor moveWithCells="1">
                  <from>
                    <xdr:col>0</xdr:col>
                    <xdr:colOff>406400</xdr:colOff>
                    <xdr:row>173</xdr:row>
                    <xdr:rowOff>127000</xdr:rowOff>
                  </from>
                  <to>
                    <xdr:col>1</xdr:col>
                    <xdr:colOff>2806700</xdr:colOff>
                    <xdr:row>175</xdr:row>
                    <xdr:rowOff>101600</xdr:rowOff>
                  </to>
                </anchor>
              </controlPr>
            </control>
          </mc:Choice>
        </mc:AlternateContent>
        <mc:AlternateContent xmlns:mc="http://schemas.openxmlformats.org/markup-compatibility/2006">
          <mc:Choice Requires="x14">
            <control shapeId="20492" r:id="rId12" name="Check Box 12">
              <controlPr locked="0" defaultSize="0" autoFill="0" autoLine="0" autoPict="0">
                <anchor moveWithCells="1">
                  <from>
                    <xdr:col>1</xdr:col>
                    <xdr:colOff>3276600</xdr:colOff>
                    <xdr:row>169</xdr:row>
                    <xdr:rowOff>127000</xdr:rowOff>
                  </from>
                  <to>
                    <xdr:col>4</xdr:col>
                    <xdr:colOff>1130300</xdr:colOff>
                    <xdr:row>171</xdr:row>
                    <xdr:rowOff>101600</xdr:rowOff>
                  </to>
                </anchor>
              </controlPr>
            </control>
          </mc:Choice>
        </mc:AlternateContent>
        <mc:AlternateContent xmlns:mc="http://schemas.openxmlformats.org/markup-compatibility/2006">
          <mc:Choice Requires="x14">
            <control shapeId="20493" r:id="rId13" name="Check Box 13">
              <controlPr locked="0" defaultSize="0" autoFill="0" autoLine="0" autoPict="0">
                <anchor moveWithCells="1">
                  <from>
                    <xdr:col>1</xdr:col>
                    <xdr:colOff>3276600</xdr:colOff>
                    <xdr:row>173</xdr:row>
                    <xdr:rowOff>114300</xdr:rowOff>
                  </from>
                  <to>
                    <xdr:col>4</xdr:col>
                    <xdr:colOff>76200</xdr:colOff>
                    <xdr:row>175</xdr:row>
                    <xdr:rowOff>88900</xdr:rowOff>
                  </to>
                </anchor>
              </controlPr>
            </control>
          </mc:Choice>
        </mc:AlternateContent>
        <mc:AlternateContent xmlns:mc="http://schemas.openxmlformats.org/markup-compatibility/2006">
          <mc:Choice Requires="x14">
            <control shapeId="20494" r:id="rId14" name="Check Box 14">
              <controlPr locked="0" defaultSize="0" autoFill="0" autoLine="0" autoPict="0">
                <anchor moveWithCells="1">
                  <from>
                    <xdr:col>1</xdr:col>
                    <xdr:colOff>3276600</xdr:colOff>
                    <xdr:row>171</xdr:row>
                    <xdr:rowOff>101600</xdr:rowOff>
                  </from>
                  <to>
                    <xdr:col>4</xdr:col>
                    <xdr:colOff>76200</xdr:colOff>
                    <xdr:row>173</xdr:row>
                    <xdr:rowOff>76200</xdr:rowOff>
                  </to>
                </anchor>
              </controlPr>
            </control>
          </mc:Choice>
        </mc:AlternateContent>
        <mc:AlternateContent xmlns:mc="http://schemas.openxmlformats.org/markup-compatibility/2006">
          <mc:Choice Requires="x14">
            <control shapeId="20500" r:id="rId15" name="Check Box 20">
              <controlPr locked="0" defaultSize="0" autoFill="0" autoLine="0" autoPict="0">
                <anchor moveWithCells="1">
                  <from>
                    <xdr:col>0</xdr:col>
                    <xdr:colOff>1104900</xdr:colOff>
                    <xdr:row>201</xdr:row>
                    <xdr:rowOff>114300</xdr:rowOff>
                  </from>
                  <to>
                    <xdr:col>1</xdr:col>
                    <xdr:colOff>2336800</xdr:colOff>
                    <xdr:row>203</xdr:row>
                    <xdr:rowOff>88900</xdr:rowOff>
                  </to>
                </anchor>
              </controlPr>
            </control>
          </mc:Choice>
        </mc:AlternateContent>
        <mc:AlternateContent xmlns:mc="http://schemas.openxmlformats.org/markup-compatibility/2006">
          <mc:Choice Requires="x14">
            <control shapeId="20501" r:id="rId16" name="Check Box 21">
              <controlPr locked="0" defaultSize="0" autoFill="0" autoLine="0" autoPict="0">
                <anchor moveWithCells="1">
                  <from>
                    <xdr:col>0</xdr:col>
                    <xdr:colOff>1092200</xdr:colOff>
                    <xdr:row>203</xdr:row>
                    <xdr:rowOff>101600</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7" name="Check Box 22">
              <controlPr locked="0" defaultSize="0" autoFill="0" autoLine="0" autoPict="0">
                <anchor moveWithCells="1">
                  <from>
                    <xdr:col>0</xdr:col>
                    <xdr:colOff>1092200</xdr:colOff>
                    <xdr:row>205</xdr:row>
                    <xdr:rowOff>114300</xdr:rowOff>
                  </from>
                  <to>
                    <xdr:col>1</xdr:col>
                    <xdr:colOff>2324100</xdr:colOff>
                    <xdr:row>207</xdr:row>
                    <xdr:rowOff>88900</xdr:rowOff>
                  </to>
                </anchor>
              </controlPr>
            </control>
          </mc:Choice>
        </mc:AlternateContent>
        <mc:AlternateContent xmlns:mc="http://schemas.openxmlformats.org/markup-compatibility/2006">
          <mc:Choice Requires="x14">
            <control shapeId="20503" r:id="rId18" name="Check Box 23">
              <controlPr locked="0" defaultSize="0" autoFill="0" autoLine="0" autoPict="0">
                <anchor moveWithCells="1">
                  <from>
                    <xdr:col>0</xdr:col>
                    <xdr:colOff>1092200</xdr:colOff>
                    <xdr:row>207</xdr:row>
                    <xdr:rowOff>114300</xdr:rowOff>
                  </from>
                  <to>
                    <xdr:col>1</xdr:col>
                    <xdr:colOff>2324100</xdr:colOff>
                    <xdr:row>208</xdr:row>
                    <xdr:rowOff>292100</xdr:rowOff>
                  </to>
                </anchor>
              </controlPr>
            </control>
          </mc:Choice>
        </mc:AlternateContent>
        <mc:AlternateContent xmlns:mc="http://schemas.openxmlformats.org/markup-compatibility/2006">
          <mc:Choice Requires="x14">
            <control shapeId="20504" r:id="rId19" name="Check Box 24">
              <controlPr locked="0" defaultSize="0" autoFill="0" autoLine="0" autoPict="0">
                <anchor moveWithCells="1">
                  <from>
                    <xdr:col>1</xdr:col>
                    <xdr:colOff>3302000</xdr:colOff>
                    <xdr:row>201</xdr:row>
                    <xdr:rowOff>114300</xdr:rowOff>
                  </from>
                  <to>
                    <xdr:col>3</xdr:col>
                    <xdr:colOff>1130300</xdr:colOff>
                    <xdr:row>203</xdr:row>
                    <xdr:rowOff>88900</xdr:rowOff>
                  </to>
                </anchor>
              </controlPr>
            </control>
          </mc:Choice>
        </mc:AlternateContent>
        <mc:AlternateContent xmlns:mc="http://schemas.openxmlformats.org/markup-compatibility/2006">
          <mc:Choice Requires="x14">
            <control shapeId="20505" r:id="rId20" name="Check Box 25">
              <controlPr locked="0" defaultSize="0" autoFill="0" autoLine="0" autoPict="0">
                <anchor moveWithCells="1">
                  <from>
                    <xdr:col>1</xdr:col>
                    <xdr:colOff>3302000</xdr:colOff>
                    <xdr:row>203</xdr:row>
                    <xdr:rowOff>101600</xdr:rowOff>
                  </from>
                  <to>
                    <xdr:col>3</xdr:col>
                    <xdr:colOff>1117600</xdr:colOff>
                    <xdr:row>205</xdr:row>
                    <xdr:rowOff>76200</xdr:rowOff>
                  </to>
                </anchor>
              </controlPr>
            </control>
          </mc:Choice>
        </mc:AlternateContent>
        <mc:AlternateContent xmlns:mc="http://schemas.openxmlformats.org/markup-compatibility/2006">
          <mc:Choice Requires="x14">
            <control shapeId="20506" r:id="rId21" name="Check Box 26">
              <controlPr locked="0" defaultSize="0" autoFill="0" autoLine="0" autoPict="0">
                <anchor moveWithCells="1">
                  <from>
                    <xdr:col>1</xdr:col>
                    <xdr:colOff>3302000</xdr:colOff>
                    <xdr:row>205</xdr:row>
                    <xdr:rowOff>114300</xdr:rowOff>
                  </from>
                  <to>
                    <xdr:col>4</xdr:col>
                    <xdr:colOff>850900</xdr:colOff>
                    <xdr:row>207</xdr:row>
                    <xdr:rowOff>88900</xdr:rowOff>
                  </to>
                </anchor>
              </controlPr>
            </control>
          </mc:Choice>
        </mc:AlternateContent>
        <mc:AlternateContent xmlns:mc="http://schemas.openxmlformats.org/markup-compatibility/2006">
          <mc:Choice Requires="x14">
            <control shapeId="20507" r:id="rId22" name="Check Box 27">
              <controlPr locked="0" defaultSize="0" autoFill="0" autoLine="0" autoPict="0">
                <anchor moveWithCells="1">
                  <from>
                    <xdr:col>1</xdr:col>
                    <xdr:colOff>3302000</xdr:colOff>
                    <xdr:row>207</xdr:row>
                    <xdr:rowOff>101600</xdr:rowOff>
                  </from>
                  <to>
                    <xdr:col>2</xdr:col>
                    <xdr:colOff>1016000</xdr:colOff>
                    <xdr:row>208</xdr:row>
                    <xdr:rowOff>279400</xdr:rowOff>
                  </to>
                </anchor>
              </controlPr>
            </control>
          </mc:Choice>
        </mc:AlternateContent>
        <mc:AlternateContent xmlns:mc="http://schemas.openxmlformats.org/markup-compatibility/2006">
          <mc:Choice Requires="x14">
            <control shapeId="20508" r:id="rId23" name="Check Box 28">
              <controlPr locked="0" defaultSize="0" autoFill="0" autoLine="0" autoPict="0">
                <anchor moveWithCells="1">
                  <from>
                    <xdr:col>0</xdr:col>
                    <xdr:colOff>1117600</xdr:colOff>
                    <xdr:row>212</xdr:row>
                    <xdr:rowOff>101600</xdr:rowOff>
                  </from>
                  <to>
                    <xdr:col>1</xdr:col>
                    <xdr:colOff>1193800</xdr:colOff>
                    <xdr:row>214</xdr:row>
                    <xdr:rowOff>76200</xdr:rowOff>
                  </to>
                </anchor>
              </controlPr>
            </control>
          </mc:Choice>
        </mc:AlternateContent>
        <mc:AlternateContent xmlns:mc="http://schemas.openxmlformats.org/markup-compatibility/2006">
          <mc:Choice Requires="x14">
            <control shapeId="20509" r:id="rId24" name="Check Box 29">
              <controlPr locked="0" defaultSize="0" autoFill="0" autoLine="0" autoPict="0">
                <anchor moveWithCells="1">
                  <from>
                    <xdr:col>0</xdr:col>
                    <xdr:colOff>1104900</xdr:colOff>
                    <xdr:row>214</xdr:row>
                    <xdr:rowOff>88900</xdr:rowOff>
                  </from>
                  <to>
                    <xdr:col>1</xdr:col>
                    <xdr:colOff>647700</xdr:colOff>
                    <xdr:row>216</xdr:row>
                    <xdr:rowOff>63500</xdr:rowOff>
                  </to>
                </anchor>
              </controlPr>
            </control>
          </mc:Choice>
        </mc:AlternateContent>
        <mc:AlternateContent xmlns:mc="http://schemas.openxmlformats.org/markup-compatibility/2006">
          <mc:Choice Requires="x14">
            <control shapeId="20510" r:id="rId25" name="Check Box 30">
              <controlPr locked="0" defaultSize="0" autoFill="0" autoLine="0" autoPict="0">
                <anchor moveWithCells="1">
                  <from>
                    <xdr:col>0</xdr:col>
                    <xdr:colOff>1092200</xdr:colOff>
                    <xdr:row>216</xdr:row>
                    <xdr:rowOff>101600</xdr:rowOff>
                  </from>
                  <to>
                    <xdr:col>1</xdr:col>
                    <xdr:colOff>1651000</xdr:colOff>
                    <xdr:row>218</xdr:row>
                    <xdr:rowOff>76200</xdr:rowOff>
                  </to>
                </anchor>
              </controlPr>
            </control>
          </mc:Choice>
        </mc:AlternateContent>
        <mc:AlternateContent xmlns:mc="http://schemas.openxmlformats.org/markup-compatibility/2006">
          <mc:Choice Requires="x14">
            <control shapeId="20511" r:id="rId26" name="Check Box 31">
              <controlPr locked="0" defaultSize="0" autoFill="0" autoLine="0" autoPict="0">
                <anchor moveWithCells="1">
                  <from>
                    <xdr:col>0</xdr:col>
                    <xdr:colOff>1104900</xdr:colOff>
                    <xdr:row>218</xdr:row>
                    <xdr:rowOff>101600</xdr:rowOff>
                  </from>
                  <to>
                    <xdr:col>1</xdr:col>
                    <xdr:colOff>2336800</xdr:colOff>
                    <xdr:row>219</xdr:row>
                    <xdr:rowOff>279400</xdr:rowOff>
                  </to>
                </anchor>
              </controlPr>
            </control>
          </mc:Choice>
        </mc:AlternateContent>
        <mc:AlternateContent xmlns:mc="http://schemas.openxmlformats.org/markup-compatibility/2006">
          <mc:Choice Requires="x14">
            <control shapeId="20512" r:id="rId27" name="Check Box 32">
              <controlPr locked="0" defaultSize="0" autoFill="0" autoLine="0" autoPict="0">
                <anchor moveWithCells="1">
                  <from>
                    <xdr:col>1</xdr:col>
                    <xdr:colOff>2501900</xdr:colOff>
                    <xdr:row>212</xdr:row>
                    <xdr:rowOff>114300</xdr:rowOff>
                  </from>
                  <to>
                    <xdr:col>4</xdr:col>
                    <xdr:colOff>1079500</xdr:colOff>
                    <xdr:row>214</xdr:row>
                    <xdr:rowOff>88900</xdr:rowOff>
                  </to>
                </anchor>
              </controlPr>
            </control>
          </mc:Choice>
        </mc:AlternateContent>
        <mc:AlternateContent xmlns:mc="http://schemas.openxmlformats.org/markup-compatibility/2006">
          <mc:Choice Requires="x14">
            <control shapeId="20513" r:id="rId28" name="Check Box 33">
              <controlPr locked="0" defaultSize="0" autoFill="0" autoLine="0" autoPict="0">
                <anchor moveWithCells="1">
                  <from>
                    <xdr:col>1</xdr:col>
                    <xdr:colOff>2501900</xdr:colOff>
                    <xdr:row>214</xdr:row>
                    <xdr:rowOff>114300</xdr:rowOff>
                  </from>
                  <to>
                    <xdr:col>3</xdr:col>
                    <xdr:colOff>330200</xdr:colOff>
                    <xdr:row>216</xdr:row>
                    <xdr:rowOff>88900</xdr:rowOff>
                  </to>
                </anchor>
              </controlPr>
            </control>
          </mc:Choice>
        </mc:AlternateContent>
        <mc:AlternateContent xmlns:mc="http://schemas.openxmlformats.org/markup-compatibility/2006">
          <mc:Choice Requires="x14">
            <control shapeId="20514" r:id="rId29" name="Check Box 34">
              <controlPr locked="0" defaultSize="0" autoFill="0" autoLine="0" autoPict="0">
                <anchor moveWithCells="1">
                  <from>
                    <xdr:col>1</xdr:col>
                    <xdr:colOff>2489200</xdr:colOff>
                    <xdr:row>216</xdr:row>
                    <xdr:rowOff>114300</xdr:rowOff>
                  </from>
                  <to>
                    <xdr:col>3</xdr:col>
                    <xdr:colOff>317500</xdr:colOff>
                    <xdr:row>218</xdr:row>
                    <xdr:rowOff>88900</xdr:rowOff>
                  </to>
                </anchor>
              </controlPr>
            </control>
          </mc:Choice>
        </mc:AlternateContent>
        <mc:AlternateContent xmlns:mc="http://schemas.openxmlformats.org/markup-compatibility/2006">
          <mc:Choice Requires="x14">
            <control shapeId="20515" r:id="rId30" name="Check Box 35">
              <controlPr locked="0" defaultSize="0" autoFill="0" autoLine="0" autoPict="0">
                <anchor moveWithCells="1">
                  <from>
                    <xdr:col>1</xdr:col>
                    <xdr:colOff>2501900</xdr:colOff>
                    <xdr:row>218</xdr:row>
                    <xdr:rowOff>101600</xdr:rowOff>
                  </from>
                  <to>
                    <xdr:col>2</xdr:col>
                    <xdr:colOff>76200</xdr:colOff>
                    <xdr:row>219</xdr:row>
                    <xdr:rowOff>279400</xdr:rowOff>
                  </to>
                </anchor>
              </controlPr>
            </control>
          </mc:Choice>
        </mc:AlternateContent>
        <mc:AlternateContent xmlns:mc="http://schemas.openxmlformats.org/markup-compatibility/2006">
          <mc:Choice Requires="x14">
            <control shapeId="20516" r:id="rId31" name="Check Box 36">
              <controlPr locked="0" defaultSize="0" autoFill="0" autoLine="0" autoPict="0">
                <anchor moveWithCells="1">
                  <from>
                    <xdr:col>0</xdr:col>
                    <xdr:colOff>1104900</xdr:colOff>
                    <xdr:row>224</xdr:row>
                    <xdr:rowOff>12700</xdr:rowOff>
                  </from>
                  <to>
                    <xdr:col>1</xdr:col>
                    <xdr:colOff>1282700</xdr:colOff>
                    <xdr:row>225</xdr:row>
                    <xdr:rowOff>190500</xdr:rowOff>
                  </to>
                </anchor>
              </controlPr>
            </control>
          </mc:Choice>
        </mc:AlternateContent>
        <mc:AlternateContent xmlns:mc="http://schemas.openxmlformats.org/markup-compatibility/2006">
          <mc:Choice Requires="x14">
            <control shapeId="20517" r:id="rId32" name="Check Box 37">
              <controlPr locked="0" defaultSize="0" autoFill="0" autoLine="0" autoPict="0">
                <anchor moveWithCells="1">
                  <from>
                    <xdr:col>0</xdr:col>
                    <xdr:colOff>1117600</xdr:colOff>
                    <xdr:row>226</xdr:row>
                    <xdr:rowOff>0</xdr:rowOff>
                  </from>
                  <to>
                    <xdr:col>1</xdr:col>
                    <xdr:colOff>1295400</xdr:colOff>
                    <xdr:row>227</xdr:row>
                    <xdr:rowOff>177800</xdr:rowOff>
                  </to>
                </anchor>
              </controlPr>
            </control>
          </mc:Choice>
        </mc:AlternateContent>
        <mc:AlternateContent xmlns:mc="http://schemas.openxmlformats.org/markup-compatibility/2006">
          <mc:Choice Requires="x14">
            <control shapeId="20518" r:id="rId33" name="Check Box 38">
              <controlPr locked="0" defaultSize="0" autoFill="0" autoLine="0" autoPict="0">
                <anchor moveWithCells="1">
                  <from>
                    <xdr:col>0</xdr:col>
                    <xdr:colOff>1104900</xdr:colOff>
                    <xdr:row>228</xdr:row>
                    <xdr:rowOff>12700</xdr:rowOff>
                  </from>
                  <to>
                    <xdr:col>1</xdr:col>
                    <xdr:colOff>1282700</xdr:colOff>
                    <xdr:row>229</xdr:row>
                    <xdr:rowOff>190500</xdr:rowOff>
                  </to>
                </anchor>
              </controlPr>
            </control>
          </mc:Choice>
        </mc:AlternateContent>
        <mc:AlternateContent xmlns:mc="http://schemas.openxmlformats.org/markup-compatibility/2006">
          <mc:Choice Requires="x14">
            <control shapeId="20519" r:id="rId34" name="Check Box 39">
              <controlPr locked="0" defaultSize="0" autoFill="0" autoLine="0" autoPict="0">
                <anchor moveWithCells="1">
                  <from>
                    <xdr:col>0</xdr:col>
                    <xdr:colOff>1104900</xdr:colOff>
                    <xdr:row>230</xdr:row>
                    <xdr:rowOff>12700</xdr:rowOff>
                  </from>
                  <to>
                    <xdr:col>1</xdr:col>
                    <xdr:colOff>1282700</xdr:colOff>
                    <xdr:row>231</xdr:row>
                    <xdr:rowOff>190500</xdr:rowOff>
                  </to>
                </anchor>
              </controlPr>
            </control>
          </mc:Choice>
        </mc:AlternateContent>
        <mc:AlternateContent xmlns:mc="http://schemas.openxmlformats.org/markup-compatibility/2006">
          <mc:Choice Requires="x14">
            <control shapeId="20520" r:id="rId35" name="Check Box 40">
              <controlPr locked="0" defaultSize="0" autoFill="0" autoLine="0" autoPict="0">
                <anchor moveWithCells="1">
                  <from>
                    <xdr:col>1</xdr:col>
                    <xdr:colOff>1524000</xdr:colOff>
                    <xdr:row>224</xdr:row>
                    <xdr:rowOff>12700</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6" name="Check Box 41">
              <controlPr locked="0" defaultSize="0" autoFill="0" autoLine="0" autoPict="0">
                <anchor moveWithCells="1">
                  <from>
                    <xdr:col>1</xdr:col>
                    <xdr:colOff>1536700</xdr:colOff>
                    <xdr:row>226</xdr:row>
                    <xdr:rowOff>0</xdr:rowOff>
                  </from>
                  <to>
                    <xdr:col>1</xdr:col>
                    <xdr:colOff>3060700</xdr:colOff>
                    <xdr:row>227</xdr:row>
                    <xdr:rowOff>177800</xdr:rowOff>
                  </to>
                </anchor>
              </controlPr>
            </control>
          </mc:Choice>
        </mc:AlternateContent>
        <mc:AlternateContent xmlns:mc="http://schemas.openxmlformats.org/markup-compatibility/2006">
          <mc:Choice Requires="x14">
            <control shapeId="20522" r:id="rId37" name="Check Box 42">
              <controlPr locked="0" defaultSize="0" autoFill="0" autoLine="0" autoPict="0">
                <anchor moveWithCells="1">
                  <from>
                    <xdr:col>1</xdr:col>
                    <xdr:colOff>1524000</xdr:colOff>
                    <xdr:row>228</xdr:row>
                    <xdr:rowOff>12700</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8" name="Check Box 43">
              <controlPr locked="0" defaultSize="0" autoFill="0" autoLine="0" autoPict="0">
                <anchor moveWithCells="1">
                  <from>
                    <xdr:col>1</xdr:col>
                    <xdr:colOff>1524000</xdr:colOff>
                    <xdr:row>230</xdr:row>
                    <xdr:rowOff>12700</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39" name="Check Box 44">
              <controlPr locked="0" defaultSize="0" autoFill="0" autoLine="0" autoPict="0">
                <anchor moveWithCells="1">
                  <from>
                    <xdr:col>1</xdr:col>
                    <xdr:colOff>3302000</xdr:colOff>
                    <xdr:row>223</xdr:row>
                    <xdr:rowOff>190500</xdr:rowOff>
                  </from>
                  <to>
                    <xdr:col>3</xdr:col>
                    <xdr:colOff>63500</xdr:colOff>
                    <xdr:row>225</xdr:row>
                    <xdr:rowOff>165100</xdr:rowOff>
                  </to>
                </anchor>
              </controlPr>
            </control>
          </mc:Choice>
        </mc:AlternateContent>
        <mc:AlternateContent xmlns:mc="http://schemas.openxmlformats.org/markup-compatibility/2006">
          <mc:Choice Requires="x14">
            <control shapeId="20525" r:id="rId40" name="Check Box 45">
              <controlPr locked="0" defaultSize="0" autoFill="0" autoLine="0" autoPict="0">
                <anchor moveWithCells="1">
                  <from>
                    <xdr:col>1</xdr:col>
                    <xdr:colOff>3302000</xdr:colOff>
                    <xdr:row>225</xdr:row>
                    <xdr:rowOff>177800</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1" name="Check Box 46">
              <controlPr locked="0" defaultSize="0" autoFill="0" autoLine="0" autoPict="0">
                <anchor moveWithCells="1">
                  <from>
                    <xdr:col>1</xdr:col>
                    <xdr:colOff>3302000</xdr:colOff>
                    <xdr:row>227</xdr:row>
                    <xdr:rowOff>190500</xdr:rowOff>
                  </from>
                  <to>
                    <xdr:col>3</xdr:col>
                    <xdr:colOff>762000</xdr:colOff>
                    <xdr:row>229</xdr:row>
                    <xdr:rowOff>165100</xdr:rowOff>
                  </to>
                </anchor>
              </controlPr>
            </control>
          </mc:Choice>
        </mc:AlternateContent>
        <mc:AlternateContent xmlns:mc="http://schemas.openxmlformats.org/markup-compatibility/2006">
          <mc:Choice Requires="x14">
            <control shapeId="20528" r:id="rId42" name="Check Box 48">
              <controlPr locked="0" defaultSize="0" autoFill="0" autoLine="0" autoPict="0">
                <anchor moveWithCells="1">
                  <from>
                    <xdr:col>0</xdr:col>
                    <xdr:colOff>1092200</xdr:colOff>
                    <xdr:row>234</xdr:row>
                    <xdr:rowOff>114300</xdr:rowOff>
                  </from>
                  <to>
                    <xdr:col>1</xdr:col>
                    <xdr:colOff>1270000</xdr:colOff>
                    <xdr:row>236</xdr:row>
                    <xdr:rowOff>88900</xdr:rowOff>
                  </to>
                </anchor>
              </controlPr>
            </control>
          </mc:Choice>
        </mc:AlternateContent>
        <mc:AlternateContent xmlns:mc="http://schemas.openxmlformats.org/markup-compatibility/2006">
          <mc:Choice Requires="x14">
            <control shapeId="20529" r:id="rId43" name="Check Box 49">
              <controlPr locked="0" defaultSize="0" autoFill="0" autoLine="0" autoPict="0">
                <anchor moveWithCells="1">
                  <from>
                    <xdr:col>0</xdr:col>
                    <xdr:colOff>1104900</xdr:colOff>
                    <xdr:row>236</xdr:row>
                    <xdr:rowOff>101600</xdr:rowOff>
                  </from>
                  <to>
                    <xdr:col>1</xdr:col>
                    <xdr:colOff>1282700</xdr:colOff>
                    <xdr:row>238</xdr:row>
                    <xdr:rowOff>76200</xdr:rowOff>
                  </to>
                </anchor>
              </controlPr>
            </control>
          </mc:Choice>
        </mc:AlternateContent>
        <mc:AlternateContent xmlns:mc="http://schemas.openxmlformats.org/markup-compatibility/2006">
          <mc:Choice Requires="x14">
            <control shapeId="20530" r:id="rId44" name="Check Box 50">
              <controlPr locked="0" defaultSize="0" autoFill="0" autoLine="0" autoPict="0">
                <anchor moveWithCells="1">
                  <from>
                    <xdr:col>0</xdr:col>
                    <xdr:colOff>1092200</xdr:colOff>
                    <xdr:row>238</xdr:row>
                    <xdr:rowOff>114300</xdr:rowOff>
                  </from>
                  <to>
                    <xdr:col>1</xdr:col>
                    <xdr:colOff>1270000</xdr:colOff>
                    <xdr:row>240</xdr:row>
                    <xdr:rowOff>88900</xdr:rowOff>
                  </to>
                </anchor>
              </controlPr>
            </control>
          </mc:Choice>
        </mc:AlternateContent>
        <mc:AlternateContent xmlns:mc="http://schemas.openxmlformats.org/markup-compatibility/2006">
          <mc:Choice Requires="x14">
            <control shapeId="20531" r:id="rId45" name="Check Box 51">
              <controlPr locked="0" defaultSize="0" autoFill="0" autoLine="0" autoPict="0">
                <anchor moveWithCells="1">
                  <from>
                    <xdr:col>0</xdr:col>
                    <xdr:colOff>1092200</xdr:colOff>
                    <xdr:row>240</xdr:row>
                    <xdr:rowOff>114300</xdr:rowOff>
                  </from>
                  <to>
                    <xdr:col>1</xdr:col>
                    <xdr:colOff>1270000</xdr:colOff>
                    <xdr:row>242</xdr:row>
                    <xdr:rowOff>88900</xdr:rowOff>
                  </to>
                </anchor>
              </controlPr>
            </control>
          </mc:Choice>
        </mc:AlternateContent>
        <mc:AlternateContent xmlns:mc="http://schemas.openxmlformats.org/markup-compatibility/2006">
          <mc:Choice Requires="x14">
            <control shapeId="20532" r:id="rId46" name="Check Box 52">
              <controlPr locked="0" defaultSize="0" autoFill="0" autoLine="0" autoPict="0">
                <anchor moveWithCells="1">
                  <from>
                    <xdr:col>1</xdr:col>
                    <xdr:colOff>1511300</xdr:colOff>
                    <xdr:row>234</xdr:row>
                    <xdr:rowOff>114300</xdr:rowOff>
                  </from>
                  <to>
                    <xdr:col>1</xdr:col>
                    <xdr:colOff>3035300</xdr:colOff>
                    <xdr:row>236</xdr:row>
                    <xdr:rowOff>88900</xdr:rowOff>
                  </to>
                </anchor>
              </controlPr>
            </control>
          </mc:Choice>
        </mc:AlternateContent>
        <mc:AlternateContent xmlns:mc="http://schemas.openxmlformats.org/markup-compatibility/2006">
          <mc:Choice Requires="x14">
            <control shapeId="20533" r:id="rId47" name="Check Box 53">
              <controlPr locked="0" defaultSize="0" autoFill="0" autoLine="0" autoPict="0">
                <anchor moveWithCells="1">
                  <from>
                    <xdr:col>1</xdr:col>
                    <xdr:colOff>1524000</xdr:colOff>
                    <xdr:row>236</xdr:row>
                    <xdr:rowOff>101600</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8" name="Check Box 54">
              <controlPr locked="0" defaultSize="0" autoFill="0" autoLine="0" autoPict="0">
                <anchor moveWithCells="1">
                  <from>
                    <xdr:col>1</xdr:col>
                    <xdr:colOff>1511300</xdr:colOff>
                    <xdr:row>238</xdr:row>
                    <xdr:rowOff>114300</xdr:rowOff>
                  </from>
                  <to>
                    <xdr:col>1</xdr:col>
                    <xdr:colOff>3035300</xdr:colOff>
                    <xdr:row>240</xdr:row>
                    <xdr:rowOff>88900</xdr:rowOff>
                  </to>
                </anchor>
              </controlPr>
            </control>
          </mc:Choice>
        </mc:AlternateContent>
        <mc:AlternateContent xmlns:mc="http://schemas.openxmlformats.org/markup-compatibility/2006">
          <mc:Choice Requires="x14">
            <control shapeId="20535" r:id="rId49" name="Check Box 55">
              <controlPr locked="0" defaultSize="0" autoFill="0" autoLine="0" autoPict="0">
                <anchor moveWithCells="1">
                  <from>
                    <xdr:col>1</xdr:col>
                    <xdr:colOff>3289300</xdr:colOff>
                    <xdr:row>236</xdr:row>
                    <xdr:rowOff>127000</xdr:rowOff>
                  </from>
                  <to>
                    <xdr:col>3</xdr:col>
                    <xdr:colOff>38100</xdr:colOff>
                    <xdr:row>238</xdr:row>
                    <xdr:rowOff>101600</xdr:rowOff>
                  </to>
                </anchor>
              </controlPr>
            </control>
          </mc:Choice>
        </mc:AlternateContent>
        <mc:AlternateContent xmlns:mc="http://schemas.openxmlformats.org/markup-compatibility/2006">
          <mc:Choice Requires="x14">
            <control shapeId="20536" r:id="rId50" name="Check Box 56">
              <controlPr locked="0" defaultSize="0" autoFill="0" autoLine="0" autoPict="0">
                <anchor moveWithCells="1">
                  <from>
                    <xdr:col>1</xdr:col>
                    <xdr:colOff>3289300</xdr:colOff>
                    <xdr:row>238</xdr:row>
                    <xdr:rowOff>88900</xdr:rowOff>
                  </from>
                  <to>
                    <xdr:col>3</xdr:col>
                    <xdr:colOff>749300</xdr:colOff>
                    <xdr:row>240</xdr:row>
                    <xdr:rowOff>63500</xdr:rowOff>
                  </to>
                </anchor>
              </controlPr>
            </control>
          </mc:Choice>
        </mc:AlternateContent>
        <mc:AlternateContent xmlns:mc="http://schemas.openxmlformats.org/markup-compatibility/2006">
          <mc:Choice Requires="x14">
            <control shapeId="20537" r:id="rId51" name="Check Box 57">
              <controlPr locked="0" defaultSize="0" autoFill="0" autoLine="0" autoPict="0">
                <anchor moveWithCells="1">
                  <from>
                    <xdr:col>1</xdr:col>
                    <xdr:colOff>1498600</xdr:colOff>
                    <xdr:row>240</xdr:row>
                    <xdr:rowOff>101600</xdr:rowOff>
                  </from>
                  <to>
                    <xdr:col>1</xdr:col>
                    <xdr:colOff>3022600</xdr:colOff>
                    <xdr:row>242</xdr:row>
                    <xdr:rowOff>76200</xdr:rowOff>
                  </to>
                </anchor>
              </controlPr>
            </control>
          </mc:Choice>
        </mc:AlternateContent>
        <mc:AlternateContent xmlns:mc="http://schemas.openxmlformats.org/markup-compatibility/2006">
          <mc:Choice Requires="x14">
            <control shapeId="20538" r:id="rId52" name="Check Box 58">
              <controlPr locked="0" defaultSize="0" autoFill="0" autoLine="0" autoPict="0">
                <anchor moveWithCells="1">
                  <from>
                    <xdr:col>1</xdr:col>
                    <xdr:colOff>3289300</xdr:colOff>
                    <xdr:row>234</xdr:row>
                    <xdr:rowOff>114300</xdr:rowOff>
                  </from>
                  <to>
                    <xdr:col>3</xdr:col>
                    <xdr:colOff>50800</xdr:colOff>
                    <xdr:row>236</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owColHeaders="0" showRuler="0" view="pageLayout" topLeftCell="A27" zoomScale="110" zoomScaleNormal="100" zoomScaleSheetLayoutView="100" zoomScalePageLayoutView="110" workbookViewId="0">
      <selection activeCell="E40" sqref="E40:E46"/>
    </sheetView>
  </sheetViews>
  <sheetFormatPr baseColWidth="10" defaultColWidth="11" defaultRowHeight="16" x14ac:dyDescent="0.2"/>
  <cols>
    <col min="1" max="1" width="3" customWidth="1"/>
    <col min="2" max="2" width="67" customWidth="1"/>
  </cols>
  <sheetData>
    <row r="1" spans="1:6" ht="19" customHeight="1" x14ac:dyDescent="0.25">
      <c r="A1" s="298" t="s">
        <v>2048</v>
      </c>
      <c r="B1" s="298"/>
      <c r="C1" s="298"/>
      <c r="D1" s="298"/>
      <c r="E1" s="298"/>
      <c r="F1" s="298"/>
    </row>
    <row r="2" spans="1:6" ht="19" x14ac:dyDescent="0.25">
      <c r="A2" s="6" t="s">
        <v>2049</v>
      </c>
    </row>
    <row r="3" spans="1:6" ht="117" customHeight="1" x14ac:dyDescent="0.2">
      <c r="A3" s="310" t="s">
        <v>2050</v>
      </c>
      <c r="B3" s="310"/>
      <c r="C3" s="310"/>
      <c r="D3" s="310"/>
      <c r="E3" s="310"/>
      <c r="F3" s="310"/>
    </row>
    <row r="4" spans="1:6" x14ac:dyDescent="0.2">
      <c r="B4" s="18"/>
      <c r="C4" s="362" t="s">
        <v>2051</v>
      </c>
      <c r="D4" s="362"/>
      <c r="E4" s="362" t="s">
        <v>2052</v>
      </c>
      <c r="F4" s="362"/>
    </row>
    <row r="5" spans="1:6" ht="59" customHeight="1" x14ac:dyDescent="0.2">
      <c r="B5" s="61" t="s">
        <v>2053</v>
      </c>
      <c r="C5" s="356" t="s">
        <v>2054</v>
      </c>
      <c r="D5" s="356"/>
      <c r="E5" s="356" t="s">
        <v>2055</v>
      </c>
      <c r="F5" s="356"/>
    </row>
    <row r="6" spans="1:6" ht="51" x14ac:dyDescent="0.2">
      <c r="B6" s="19" t="s">
        <v>2056</v>
      </c>
      <c r="C6" s="356" t="s">
        <v>2054</v>
      </c>
      <c r="D6" s="356"/>
      <c r="E6" s="356" t="s">
        <v>2055</v>
      </c>
      <c r="F6" s="356"/>
    </row>
    <row r="7" spans="1:6" ht="34" x14ac:dyDescent="0.2">
      <c r="B7" s="19" t="s">
        <v>2057</v>
      </c>
      <c r="C7" s="356" t="s">
        <v>2054</v>
      </c>
      <c r="D7" s="356"/>
      <c r="E7" s="356" t="s">
        <v>2058</v>
      </c>
      <c r="F7" s="356"/>
    </row>
    <row r="8" spans="1:6" ht="51" x14ac:dyDescent="0.2">
      <c r="B8" s="19" t="s">
        <v>2059</v>
      </c>
      <c r="C8" s="356" t="s">
        <v>2054</v>
      </c>
      <c r="D8" s="356"/>
      <c r="E8" s="356" t="s">
        <v>2054</v>
      </c>
      <c r="F8" s="356"/>
    </row>
    <row r="9" spans="1:6" ht="17" x14ac:dyDescent="0.2">
      <c r="B9" s="19" t="s">
        <v>2060</v>
      </c>
      <c r="C9" s="356" t="s">
        <v>2061</v>
      </c>
      <c r="D9" s="356"/>
      <c r="E9" s="356" t="s">
        <v>2054</v>
      </c>
      <c r="F9" s="356"/>
    </row>
    <row r="10" spans="1:6" ht="17" x14ac:dyDescent="0.2">
      <c r="B10" s="19" t="s">
        <v>2062</v>
      </c>
      <c r="C10" s="356" t="s">
        <v>2054</v>
      </c>
      <c r="D10" s="356"/>
      <c r="E10" s="356" t="s">
        <v>2054</v>
      </c>
      <c r="F10" s="356"/>
    </row>
    <row r="11" spans="1:6" ht="17" x14ac:dyDescent="0.2">
      <c r="B11" s="19" t="s">
        <v>2063</v>
      </c>
      <c r="C11" s="356" t="s">
        <v>2054</v>
      </c>
      <c r="D11" s="356"/>
      <c r="E11" s="357" t="s">
        <v>2061</v>
      </c>
      <c r="F11" s="357"/>
    </row>
    <row r="12" spans="1:6" ht="108" customHeight="1" x14ac:dyDescent="0.2">
      <c r="A12" s="358" t="s">
        <v>2064</v>
      </c>
      <c r="B12" s="359"/>
      <c r="C12" s="359"/>
      <c r="D12" s="359"/>
      <c r="E12" s="359"/>
      <c r="F12" s="359"/>
    </row>
    <row r="13" spans="1:6" ht="176" customHeight="1" x14ac:dyDescent="0.2">
      <c r="A13" s="360" t="s">
        <v>2065</v>
      </c>
      <c r="B13" s="360"/>
      <c r="C13" s="360"/>
      <c r="D13" s="360"/>
      <c r="E13" s="360"/>
      <c r="F13" s="360"/>
    </row>
    <row r="14" spans="1:6" x14ac:dyDescent="0.2">
      <c r="B14" s="18"/>
      <c r="C14" s="213" t="s">
        <v>2051</v>
      </c>
      <c r="D14" s="213" t="s">
        <v>2052</v>
      </c>
      <c r="E14" s="213" t="s">
        <v>1498</v>
      </c>
    </row>
    <row r="15" spans="1:6" ht="26" customHeight="1" x14ac:dyDescent="0.2">
      <c r="B15" s="214" t="s">
        <v>2066</v>
      </c>
      <c r="C15" s="40">
        <v>135</v>
      </c>
      <c r="D15" s="40">
        <v>41</v>
      </c>
      <c r="E15" s="40">
        <v>176</v>
      </c>
    </row>
    <row r="16" spans="1:6" ht="29" customHeight="1" x14ac:dyDescent="0.2">
      <c r="B16" s="214" t="s">
        <v>2067</v>
      </c>
      <c r="C16" s="40">
        <v>24</v>
      </c>
      <c r="D16" s="40">
        <v>3</v>
      </c>
      <c r="E16" s="40">
        <v>27</v>
      </c>
    </row>
    <row r="17" spans="1:6" ht="27" customHeight="1" x14ac:dyDescent="0.2">
      <c r="B17" s="214" t="s">
        <v>2068</v>
      </c>
      <c r="C17" s="40">
        <v>72</v>
      </c>
      <c r="D17" s="40">
        <v>20</v>
      </c>
      <c r="E17" s="40">
        <v>92</v>
      </c>
    </row>
    <row r="18" spans="1:6" ht="24" customHeight="1" x14ac:dyDescent="0.2">
      <c r="B18" s="214" t="s">
        <v>2069</v>
      </c>
      <c r="C18" s="40">
        <v>63</v>
      </c>
      <c r="D18" s="40">
        <v>21</v>
      </c>
      <c r="E18" s="40">
        <v>84</v>
      </c>
    </row>
    <row r="19" spans="1:6" ht="33.75" customHeight="1" x14ac:dyDescent="0.2">
      <c r="B19" s="214" t="s">
        <v>2070</v>
      </c>
      <c r="C19" s="40">
        <v>8</v>
      </c>
      <c r="D19" s="40">
        <v>2</v>
      </c>
      <c r="E19" s="40">
        <v>10</v>
      </c>
    </row>
    <row r="20" spans="1:6" ht="33.75" customHeight="1" x14ac:dyDescent="0.2">
      <c r="B20" s="214" t="s">
        <v>2071</v>
      </c>
      <c r="C20" s="40">
        <v>117</v>
      </c>
      <c r="D20" s="40">
        <v>16</v>
      </c>
      <c r="E20" s="40">
        <v>133</v>
      </c>
    </row>
    <row r="21" spans="1:6" ht="33.75" customHeight="1" x14ac:dyDescent="0.2">
      <c r="B21" s="61" t="s">
        <v>2072</v>
      </c>
      <c r="C21" s="40">
        <v>16</v>
      </c>
      <c r="D21" s="40">
        <v>4</v>
      </c>
      <c r="E21" s="40">
        <v>20</v>
      </c>
    </row>
    <row r="22" spans="1:6" ht="33.75" customHeight="1" x14ac:dyDescent="0.2">
      <c r="B22" s="214" t="s">
        <v>2073</v>
      </c>
      <c r="C22" s="40">
        <v>1</v>
      </c>
      <c r="D22" s="40">
        <v>15</v>
      </c>
      <c r="E22" s="40">
        <v>16</v>
      </c>
    </row>
    <row r="23" spans="1:6" ht="33.75" customHeight="1" x14ac:dyDescent="0.2">
      <c r="B23" s="214" t="s">
        <v>2074</v>
      </c>
      <c r="C23" s="40">
        <v>0</v>
      </c>
      <c r="D23" s="40">
        <v>3</v>
      </c>
      <c r="E23" s="40">
        <v>3</v>
      </c>
    </row>
    <row r="24" spans="1:6" ht="33.75" customHeight="1" x14ac:dyDescent="0.2">
      <c r="B24" s="215" t="s">
        <v>2075</v>
      </c>
      <c r="C24" s="282"/>
      <c r="D24" s="282"/>
      <c r="E24" s="282"/>
    </row>
    <row r="25" spans="1:6" x14ac:dyDescent="0.2">
      <c r="B25" s="194" t="s">
        <v>2076</v>
      </c>
    </row>
    <row r="27" spans="1:6" ht="27" customHeight="1" x14ac:dyDescent="0.2">
      <c r="A27" s="192" t="s">
        <v>2077</v>
      </c>
    </row>
    <row r="28" spans="1:6" ht="103" customHeight="1" x14ac:dyDescent="0.2">
      <c r="A28" s="308" t="s">
        <v>2078</v>
      </c>
      <c r="B28" s="308"/>
      <c r="C28" s="308"/>
      <c r="D28" s="308"/>
      <c r="E28" s="308"/>
      <c r="F28" s="308"/>
    </row>
    <row r="30" spans="1:6" x14ac:dyDescent="0.2">
      <c r="B30" s="33" t="s">
        <v>2079</v>
      </c>
      <c r="C30" s="283">
        <v>8</v>
      </c>
      <c r="D30" s="17" t="s">
        <v>2080</v>
      </c>
      <c r="E30" s="17">
        <v>1</v>
      </c>
    </row>
    <row r="32" spans="1:6" x14ac:dyDescent="0.2">
      <c r="B32" s="33" t="s">
        <v>2081</v>
      </c>
      <c r="C32" s="40">
        <v>1181</v>
      </c>
    </row>
    <row r="34" spans="1:6" x14ac:dyDescent="0.2">
      <c r="B34" s="33" t="s">
        <v>2082</v>
      </c>
      <c r="C34" s="40">
        <v>149</v>
      </c>
    </row>
    <row r="35" spans="1:6" x14ac:dyDescent="0.2">
      <c r="B35" s="13"/>
    </row>
    <row r="36" spans="1:6" ht="19" x14ac:dyDescent="0.2">
      <c r="A36" s="192" t="s">
        <v>2083</v>
      </c>
    </row>
    <row r="37" spans="1:6" ht="251" customHeight="1" x14ac:dyDescent="0.2">
      <c r="A37" s="308" t="s">
        <v>2084</v>
      </c>
      <c r="B37" s="308"/>
      <c r="C37" s="308"/>
      <c r="D37" s="308"/>
      <c r="E37" s="308"/>
      <c r="F37" s="308"/>
    </row>
    <row r="38" spans="1:6" ht="68" customHeight="1" x14ac:dyDescent="0.2">
      <c r="A38" s="308" t="s">
        <v>2085</v>
      </c>
      <c r="B38" s="308"/>
      <c r="C38" s="308"/>
      <c r="D38" s="308"/>
      <c r="E38" s="308"/>
      <c r="F38" s="308"/>
    </row>
    <row r="39" spans="1:6" ht="36" customHeight="1" x14ac:dyDescent="0.2">
      <c r="A39" s="361" t="s">
        <v>2086</v>
      </c>
      <c r="B39" s="361"/>
      <c r="C39" s="23" t="s">
        <v>2087</v>
      </c>
      <c r="E39" s="23" t="s">
        <v>2088</v>
      </c>
    </row>
    <row r="40" spans="1:6" x14ac:dyDescent="0.2">
      <c r="B40" s="193" t="s">
        <v>2089</v>
      </c>
      <c r="C40" s="40">
        <v>100</v>
      </c>
      <c r="E40" s="40">
        <v>3</v>
      </c>
    </row>
    <row r="41" spans="1:6" x14ac:dyDescent="0.2">
      <c r="B41" s="193" t="s">
        <v>2090</v>
      </c>
      <c r="C41" s="40">
        <v>191</v>
      </c>
      <c r="E41" s="40">
        <v>18</v>
      </c>
    </row>
    <row r="42" spans="1:6" x14ac:dyDescent="0.2">
      <c r="B42" s="193" t="s">
        <v>2091</v>
      </c>
      <c r="C42" s="40">
        <v>55</v>
      </c>
      <c r="E42" s="40">
        <v>4</v>
      </c>
    </row>
    <row r="43" spans="1:6" x14ac:dyDescent="0.2">
      <c r="B43" s="193" t="s">
        <v>2092</v>
      </c>
      <c r="C43" s="40">
        <v>2</v>
      </c>
      <c r="E43" s="40">
        <v>0</v>
      </c>
    </row>
    <row r="44" spans="1:6" x14ac:dyDescent="0.2">
      <c r="B44" s="193" t="s">
        <v>2093</v>
      </c>
      <c r="C44" s="40">
        <v>0</v>
      </c>
      <c r="E44" s="40">
        <v>0</v>
      </c>
    </row>
    <row r="45" spans="1:6" x14ac:dyDescent="0.2">
      <c r="B45" s="193" t="s">
        <v>2094</v>
      </c>
      <c r="C45" s="40">
        <v>0</v>
      </c>
      <c r="E45" s="40">
        <v>0</v>
      </c>
    </row>
    <row r="46" spans="1:6" x14ac:dyDescent="0.2">
      <c r="B46" s="193" t="s">
        <v>2095</v>
      </c>
      <c r="C46" s="40">
        <v>0</v>
      </c>
      <c r="E46" s="40">
        <v>0</v>
      </c>
    </row>
    <row r="47" spans="1:6" x14ac:dyDescent="0.2">
      <c r="B47" s="193" t="s">
        <v>1498</v>
      </c>
      <c r="C47" s="26">
        <f>SUM(C40:C46)</f>
        <v>348</v>
      </c>
      <c r="D47" s="3"/>
      <c r="E47" s="26">
        <f>SUM(E40:E46)</f>
        <v>25</v>
      </c>
    </row>
    <row r="48" spans="1:6" x14ac:dyDescent="0.2">
      <c r="B48" s="216"/>
    </row>
    <row r="49" spans="1:6" ht="19" x14ac:dyDescent="0.25">
      <c r="A49" s="287" t="s">
        <v>2096</v>
      </c>
      <c r="B49" s="287"/>
      <c r="C49" s="287"/>
      <c r="D49" s="287"/>
      <c r="E49" s="287"/>
      <c r="F49" s="287"/>
    </row>
    <row r="50" spans="1:6" x14ac:dyDescent="0.2">
      <c r="B50" s="216"/>
    </row>
    <row r="51" spans="1:6" x14ac:dyDescent="0.2">
      <c r="B51" s="216"/>
    </row>
    <row r="52" spans="1:6" x14ac:dyDescent="0.2">
      <c r="B52" s="216"/>
    </row>
    <row r="53" spans="1:6" x14ac:dyDescent="0.2">
      <c r="B53" s="216"/>
    </row>
    <row r="54" spans="1:6" x14ac:dyDescent="0.2">
      <c r="B54" s="216"/>
    </row>
    <row r="55" spans="1:6" x14ac:dyDescent="0.2">
      <c r="B55" s="216"/>
    </row>
    <row r="56" spans="1:6" x14ac:dyDescent="0.2">
      <c r="B56" s="216"/>
    </row>
    <row r="57" spans="1:6" x14ac:dyDescent="0.2">
      <c r="B57" s="216"/>
    </row>
    <row r="58" spans="1:6" x14ac:dyDescent="0.2">
      <c r="B58" s="216"/>
    </row>
    <row r="59" spans="1:6" x14ac:dyDescent="0.2">
      <c r="B59" s="216"/>
    </row>
    <row r="60" spans="1:6" x14ac:dyDescent="0.2">
      <c r="B60" s="216"/>
    </row>
    <row r="61" spans="1:6" x14ac:dyDescent="0.2">
      <c r="B61" s="217"/>
    </row>
  </sheetData>
  <sheetProtection algorithmName="SHA-512" hashValue="UJxGmaVMJFGZrZutbyKzIGtuj4ZNdwivJA8gow4sxafHREmVuWTYRI7K1heVSQitd/JhthlXqlg8xjO1RiW7yQ==" saltValue="g9ABhEwNS5ia2pi+Gs4Snw==" spinCount="100000" sheet="1"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49:F49"/>
    <mergeCell ref="A38:F38"/>
    <mergeCell ref="A37:F37"/>
    <mergeCell ref="A28:F28"/>
    <mergeCell ref="E9:F9"/>
    <mergeCell ref="E10:F10"/>
    <mergeCell ref="C11:D11"/>
    <mergeCell ref="E11:F11"/>
    <mergeCell ref="A12:F12"/>
    <mergeCell ref="A13:F13"/>
    <mergeCell ref="A39:B39"/>
  </mergeCells>
  <pageMargins left="0.7" right="0.7" top="0.75" bottom="0.75" header="0.3" footer="0.3"/>
  <pageSetup orientation="landscape" horizontalDpi="0" verticalDpi="0"/>
  <headerFooter>
    <oddHeader xml:space="preserve">&amp;C&amp;"System Font,Regular"&amp;10&amp;K000000   
</oddHeader>
    <oddFooter xml:space="preserve">&amp;C   
</oddFooter>
  </headerFooter>
  <rowBreaks count="1" manualBreakCount="1">
    <brk id="3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owColHeaders="0" showRuler="0" view="pageLayout" topLeftCell="A35" zoomScale="110" zoomScaleNormal="100" zoomScalePageLayoutView="110" workbookViewId="0">
      <selection activeCell="D9" sqref="D9:D47"/>
    </sheetView>
  </sheetViews>
  <sheetFormatPr baseColWidth="10" defaultColWidth="10.6640625" defaultRowHeight="16" x14ac:dyDescent="0.2"/>
  <cols>
    <col min="1" max="1" width="54" customWidth="1"/>
    <col min="2" max="5" width="14.33203125" customWidth="1"/>
  </cols>
  <sheetData>
    <row r="1" spans="1:5" ht="19" customHeight="1" x14ac:dyDescent="0.25">
      <c r="A1" s="298" t="s">
        <v>2097</v>
      </c>
      <c r="B1" s="298"/>
      <c r="C1" s="298"/>
      <c r="D1" s="298"/>
      <c r="E1" s="298"/>
    </row>
    <row r="3" spans="1:5" x14ac:dyDescent="0.2">
      <c r="A3" s="1" t="s">
        <v>2098</v>
      </c>
    </row>
    <row r="5" spans="1:5" ht="94" customHeight="1" x14ac:dyDescent="0.2">
      <c r="A5" s="308" t="s">
        <v>2099</v>
      </c>
      <c r="B5" s="308"/>
      <c r="C5" s="308"/>
      <c r="D5" s="308"/>
      <c r="E5" s="308"/>
    </row>
    <row r="8" spans="1:5" ht="51" x14ac:dyDescent="0.2">
      <c r="A8" s="195" t="s">
        <v>2100</v>
      </c>
      <c r="B8" s="196" t="s">
        <v>2101</v>
      </c>
      <c r="C8" s="195" t="s">
        <v>1438</v>
      </c>
      <c r="D8" s="195" t="s">
        <v>1444</v>
      </c>
      <c r="E8" s="196" t="s">
        <v>2102</v>
      </c>
    </row>
    <row r="9" spans="1:5" ht="17" x14ac:dyDescent="0.2">
      <c r="A9" s="197" t="s">
        <v>2103</v>
      </c>
      <c r="B9" s="200"/>
      <c r="C9" s="200"/>
      <c r="D9" s="200">
        <v>0</v>
      </c>
      <c r="E9" s="198">
        <v>1</v>
      </c>
    </row>
    <row r="10" spans="1:5" ht="17" x14ac:dyDescent="0.2">
      <c r="A10" s="197" t="s">
        <v>2104</v>
      </c>
      <c r="B10" s="200"/>
      <c r="C10" s="200"/>
      <c r="D10" s="200">
        <v>0</v>
      </c>
      <c r="E10" s="198">
        <v>3</v>
      </c>
    </row>
    <row r="11" spans="1:5" ht="17" x14ac:dyDescent="0.2">
      <c r="A11" s="197" t="s">
        <v>2105</v>
      </c>
      <c r="B11" s="200"/>
      <c r="C11" s="200"/>
      <c r="D11" s="200">
        <v>0</v>
      </c>
      <c r="E11" s="198">
        <v>4</v>
      </c>
    </row>
    <row r="12" spans="1:5" ht="17" x14ac:dyDescent="0.2">
      <c r="A12" s="197" t="s">
        <v>2106</v>
      </c>
      <c r="B12" s="200"/>
      <c r="C12" s="200"/>
      <c r="D12" s="200">
        <v>0.5</v>
      </c>
      <c r="E12" s="198">
        <v>5</v>
      </c>
    </row>
    <row r="13" spans="1:5" ht="17" x14ac:dyDescent="0.2">
      <c r="A13" s="197" t="s">
        <v>2107</v>
      </c>
      <c r="B13" s="200"/>
      <c r="C13" s="200"/>
      <c r="D13" s="200">
        <v>4</v>
      </c>
      <c r="E13" s="198">
        <v>9</v>
      </c>
    </row>
    <row r="14" spans="1:5" ht="17" x14ac:dyDescent="0.2">
      <c r="A14" s="197" t="s">
        <v>2108</v>
      </c>
      <c r="B14" s="200"/>
      <c r="C14" s="200"/>
      <c r="D14" s="200">
        <v>0</v>
      </c>
      <c r="E14" s="198">
        <v>10</v>
      </c>
    </row>
    <row r="15" spans="1:5" ht="17" x14ac:dyDescent="0.2">
      <c r="A15" s="197" t="s">
        <v>2109</v>
      </c>
      <c r="B15" s="200"/>
      <c r="C15" s="200"/>
      <c r="D15" s="200">
        <v>5.5</v>
      </c>
      <c r="E15" s="198">
        <v>11</v>
      </c>
    </row>
    <row r="16" spans="1:5" ht="17" x14ac:dyDescent="0.2">
      <c r="A16" s="197" t="s">
        <v>2110</v>
      </c>
      <c r="B16" s="200"/>
      <c r="C16" s="200"/>
      <c r="D16" s="200">
        <v>0</v>
      </c>
      <c r="E16" s="198">
        <v>12</v>
      </c>
    </row>
    <row r="17" spans="1:5" ht="17" x14ac:dyDescent="0.2">
      <c r="A17" s="197" t="s">
        <v>2111</v>
      </c>
      <c r="B17" s="200"/>
      <c r="C17" s="200"/>
      <c r="D17" s="200">
        <v>0</v>
      </c>
      <c r="E17" s="198">
        <v>13</v>
      </c>
    </row>
    <row r="18" spans="1:5" ht="17" x14ac:dyDescent="0.2">
      <c r="A18" s="197" t="s">
        <v>2112</v>
      </c>
      <c r="B18" s="200"/>
      <c r="C18" s="200"/>
      <c r="D18" s="200">
        <v>0</v>
      </c>
      <c r="E18" s="198">
        <v>14</v>
      </c>
    </row>
    <row r="19" spans="1:5" ht="17" x14ac:dyDescent="0.2">
      <c r="A19" s="197" t="s">
        <v>2113</v>
      </c>
      <c r="B19" s="200"/>
      <c r="C19" s="200"/>
      <c r="D19" s="200">
        <v>0</v>
      </c>
      <c r="E19" s="198">
        <v>15</v>
      </c>
    </row>
    <row r="20" spans="1:5" ht="17" x14ac:dyDescent="0.2">
      <c r="A20" s="197" t="s">
        <v>2114</v>
      </c>
      <c r="B20" s="200"/>
      <c r="C20" s="200"/>
      <c r="D20" s="200">
        <v>2.1</v>
      </c>
      <c r="E20" s="198">
        <v>16</v>
      </c>
    </row>
    <row r="21" spans="1:5" ht="17" x14ac:dyDescent="0.2">
      <c r="A21" s="197" t="s">
        <v>2115</v>
      </c>
      <c r="B21" s="200"/>
      <c r="C21" s="200"/>
      <c r="D21" s="200">
        <v>0</v>
      </c>
      <c r="E21" s="198">
        <v>19</v>
      </c>
    </row>
    <row r="22" spans="1:5" ht="17" x14ac:dyDescent="0.2">
      <c r="A22" s="197" t="s">
        <v>2116</v>
      </c>
      <c r="B22" s="200"/>
      <c r="C22" s="200"/>
      <c r="D22" s="200">
        <v>0</v>
      </c>
      <c r="E22" s="198">
        <v>22</v>
      </c>
    </row>
    <row r="23" spans="1:5" ht="17" x14ac:dyDescent="0.2">
      <c r="A23" s="197" t="s">
        <v>1586</v>
      </c>
      <c r="B23" s="200"/>
      <c r="C23" s="200"/>
      <c r="D23" s="200">
        <v>4.7</v>
      </c>
      <c r="E23" s="198">
        <v>23</v>
      </c>
    </row>
    <row r="24" spans="1:5" ht="17" x14ac:dyDescent="0.2">
      <c r="A24" s="197" t="s">
        <v>2117</v>
      </c>
      <c r="B24" s="200"/>
      <c r="C24" s="200"/>
      <c r="D24" s="200">
        <v>0</v>
      </c>
      <c r="E24" s="198">
        <v>24</v>
      </c>
    </row>
    <row r="25" spans="1:5" ht="17" x14ac:dyDescent="0.2">
      <c r="A25" s="197" t="s">
        <v>2118</v>
      </c>
      <c r="B25" s="200"/>
      <c r="C25" s="200"/>
      <c r="D25" s="200">
        <v>0</v>
      </c>
      <c r="E25" s="198">
        <v>25</v>
      </c>
    </row>
    <row r="26" spans="1:5" ht="17" x14ac:dyDescent="0.2">
      <c r="A26" s="197" t="s">
        <v>2119</v>
      </c>
      <c r="B26" s="200"/>
      <c r="C26" s="200"/>
      <c r="D26" s="200">
        <v>19</v>
      </c>
      <c r="E26" s="198">
        <v>26</v>
      </c>
    </row>
    <row r="27" spans="1:5" ht="17" x14ac:dyDescent="0.2">
      <c r="A27" s="197" t="s">
        <v>2120</v>
      </c>
      <c r="B27" s="200"/>
      <c r="C27" s="200"/>
      <c r="D27" s="200">
        <v>1.4</v>
      </c>
      <c r="E27" s="198">
        <v>27</v>
      </c>
    </row>
    <row r="28" spans="1:5" ht="17" x14ac:dyDescent="0.2">
      <c r="A28" s="197" t="s">
        <v>2121</v>
      </c>
      <c r="B28" s="200"/>
      <c r="C28" s="200"/>
      <c r="D28" s="200">
        <v>0</v>
      </c>
      <c r="E28" s="198" t="s">
        <v>2122</v>
      </c>
    </row>
    <row r="29" spans="1:5" ht="17" x14ac:dyDescent="0.2">
      <c r="A29" s="197" t="s">
        <v>2123</v>
      </c>
      <c r="B29" s="200"/>
      <c r="C29" s="200"/>
      <c r="D29" s="200">
        <v>12.1</v>
      </c>
      <c r="E29" s="198">
        <v>30</v>
      </c>
    </row>
    <row r="30" spans="1:5" ht="17" x14ac:dyDescent="0.2">
      <c r="A30" s="197" t="s">
        <v>2124</v>
      </c>
      <c r="B30" s="200"/>
      <c r="C30" s="200"/>
      <c r="D30" s="200">
        <v>0</v>
      </c>
      <c r="E30" s="198">
        <v>31</v>
      </c>
    </row>
    <row r="31" spans="1:5" ht="17" x14ac:dyDescent="0.2">
      <c r="A31" s="197" t="s">
        <v>2125</v>
      </c>
      <c r="B31" s="200"/>
      <c r="C31" s="200"/>
      <c r="D31" s="200">
        <v>1.4</v>
      </c>
      <c r="E31" s="198">
        <v>38</v>
      </c>
    </row>
    <row r="32" spans="1:5" ht="17" x14ac:dyDescent="0.2">
      <c r="A32" s="197" t="s">
        <v>2126</v>
      </c>
      <c r="B32" s="200"/>
      <c r="C32" s="200"/>
      <c r="D32" s="200">
        <v>0</v>
      </c>
      <c r="E32" s="198">
        <v>39</v>
      </c>
    </row>
    <row r="33" spans="1:5" ht="17" x14ac:dyDescent="0.2">
      <c r="A33" s="197" t="s">
        <v>2127</v>
      </c>
      <c r="B33" s="200"/>
      <c r="C33" s="200"/>
      <c r="D33" s="200">
        <v>6.4</v>
      </c>
      <c r="E33" s="198">
        <v>40</v>
      </c>
    </row>
    <row r="34" spans="1:5" ht="17" x14ac:dyDescent="0.2">
      <c r="A34" s="197" t="s">
        <v>2128</v>
      </c>
      <c r="B34" s="200"/>
      <c r="C34" s="200"/>
      <c r="D34" s="200">
        <v>0</v>
      </c>
      <c r="E34" s="198">
        <v>41</v>
      </c>
    </row>
    <row r="35" spans="1:5" ht="17" x14ac:dyDescent="0.2">
      <c r="A35" s="197" t="s">
        <v>2129</v>
      </c>
      <c r="B35" s="200"/>
      <c r="C35" s="200"/>
      <c r="D35" s="200">
        <v>8.1</v>
      </c>
      <c r="E35" s="198">
        <v>42</v>
      </c>
    </row>
    <row r="36" spans="1:5" ht="34" x14ac:dyDescent="0.2">
      <c r="A36" s="197" t="s">
        <v>2130</v>
      </c>
      <c r="B36" s="200"/>
      <c r="C36" s="200"/>
      <c r="D36" s="200">
        <v>0</v>
      </c>
      <c r="E36" s="198">
        <v>43</v>
      </c>
    </row>
    <row r="37" spans="1:5" ht="17" x14ac:dyDescent="0.2">
      <c r="A37" s="197" t="s">
        <v>2131</v>
      </c>
      <c r="B37" s="200"/>
      <c r="C37" s="200"/>
      <c r="D37" s="200">
        <v>0.7</v>
      </c>
      <c r="E37" s="198">
        <v>44</v>
      </c>
    </row>
    <row r="38" spans="1:5" ht="17" x14ac:dyDescent="0.2">
      <c r="A38" s="197" t="s">
        <v>2132</v>
      </c>
      <c r="B38" s="200"/>
      <c r="C38" s="200"/>
      <c r="D38" s="200">
        <v>13.7</v>
      </c>
      <c r="E38" s="198">
        <v>45</v>
      </c>
    </row>
    <row r="39" spans="1:5" ht="17" x14ac:dyDescent="0.2">
      <c r="A39" s="197" t="s">
        <v>2133</v>
      </c>
      <c r="B39" s="200"/>
      <c r="C39" s="200"/>
      <c r="D39" s="200">
        <v>0</v>
      </c>
      <c r="E39" s="198">
        <v>46</v>
      </c>
    </row>
    <row r="40" spans="1:5" ht="17" x14ac:dyDescent="0.2">
      <c r="A40" s="197" t="s">
        <v>2134</v>
      </c>
      <c r="B40" s="200"/>
      <c r="C40" s="200"/>
      <c r="D40" s="200">
        <v>0</v>
      </c>
      <c r="E40" s="198">
        <v>47</v>
      </c>
    </row>
    <row r="41" spans="1:5" ht="17" x14ac:dyDescent="0.2">
      <c r="A41" s="197" t="s">
        <v>2135</v>
      </c>
      <c r="B41" s="200"/>
      <c r="C41" s="200"/>
      <c r="D41" s="200">
        <v>0</v>
      </c>
      <c r="E41" s="198">
        <v>48</v>
      </c>
    </row>
    <row r="42" spans="1:5" ht="17" x14ac:dyDescent="0.2">
      <c r="A42" s="197" t="s">
        <v>2136</v>
      </c>
      <c r="B42" s="200"/>
      <c r="C42" s="200"/>
      <c r="D42" s="200">
        <v>0</v>
      </c>
      <c r="E42" s="198">
        <v>49</v>
      </c>
    </row>
    <row r="43" spans="1:5" ht="17" x14ac:dyDescent="0.2">
      <c r="A43" s="197" t="s">
        <v>2137</v>
      </c>
      <c r="B43" s="200"/>
      <c r="C43" s="200"/>
      <c r="D43" s="200">
        <v>6.9</v>
      </c>
      <c r="E43" s="198">
        <v>50</v>
      </c>
    </row>
    <row r="44" spans="1:5" ht="17" x14ac:dyDescent="0.2">
      <c r="A44" s="197" t="s">
        <v>2138</v>
      </c>
      <c r="B44" s="200"/>
      <c r="C44" s="200"/>
      <c r="D44" s="200">
        <v>3.8</v>
      </c>
      <c r="E44" s="198">
        <v>51</v>
      </c>
    </row>
    <row r="45" spans="1:5" ht="17" x14ac:dyDescent="0.2">
      <c r="A45" s="197" t="s">
        <v>2139</v>
      </c>
      <c r="B45" s="200"/>
      <c r="C45" s="200"/>
      <c r="D45" s="200">
        <v>5.7</v>
      </c>
      <c r="E45" s="198">
        <v>52</v>
      </c>
    </row>
    <row r="46" spans="1:5" ht="17" x14ac:dyDescent="0.2">
      <c r="A46" s="197" t="s">
        <v>1339</v>
      </c>
      <c r="B46" s="200"/>
      <c r="C46" s="200"/>
      <c r="D46" s="200">
        <v>4</v>
      </c>
      <c r="E46" s="198">
        <v>54</v>
      </c>
    </row>
    <row r="47" spans="1:5" ht="17" x14ac:dyDescent="0.2">
      <c r="A47" s="199" t="s">
        <v>629</v>
      </c>
      <c r="B47" s="200"/>
      <c r="C47" s="200"/>
      <c r="D47" s="151">
        <v>0</v>
      </c>
      <c r="E47" s="18"/>
    </row>
    <row r="50" spans="1:5" ht="19" x14ac:dyDescent="0.25">
      <c r="A50" s="298" t="s">
        <v>2140</v>
      </c>
      <c r="B50" s="298"/>
      <c r="C50" s="298"/>
      <c r="D50" s="298"/>
      <c r="E50" s="298"/>
    </row>
  </sheetData>
  <sheetProtection algorithmName="SHA-512" hashValue="ttx4LdVlgdxLlfFrWbw/V8OG7hDdNo8dxCOfTDrQbBiNsgkNhwqYdQbHCM6h8MTOfCznGwM/l1AyPUGSFYdSCQ==" saltValue="lQZBQgdhJq1lxO6BbwACzw==" spinCount="100000" sheet="1" formatColumns="0" formatRows="0" selectLockedCells="1"/>
  <mergeCells count="3">
    <mergeCell ref="A1:E1"/>
    <mergeCell ref="A5:E5"/>
    <mergeCell ref="A50:E50"/>
  </mergeCells>
  <dataValidations count="1">
    <dataValidation type="decimal" allowBlank="1" showInputMessage="1" showErrorMessage="1" sqref="B9:C47" xr:uid="{40F0BEA3-8574-E249-8E5C-E7DFDA886879}">
      <formula1>0</formula1>
      <formula2>100</formula2>
    </dataValidation>
  </dataValidations>
  <pageMargins left="0.7" right="0.7" top="0.75" bottom="0.75" header="0.3" footer="0.3"/>
  <pageSetup orientation="landscape" horizontalDpi="0" verticalDpi="0"/>
  <headerFooter>
    <oddHeader xml:space="preserve">&amp;C  
</oddHeader>
    <oddFooter xml:space="preserve">&amp;C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owColHeaders="0" showRuler="0" view="pageLayout" zoomScale="110" zoomScaleNormal="100" zoomScalePageLayoutView="110" workbookViewId="0">
      <selection sqref="A1:J1"/>
    </sheetView>
  </sheetViews>
  <sheetFormatPr baseColWidth="10" defaultColWidth="10.83203125" defaultRowHeight="36" customHeight="1" x14ac:dyDescent="0.2"/>
  <cols>
    <col min="1" max="4" width="10.83203125" style="20"/>
    <col min="5" max="5" width="9.5" style="20" customWidth="1"/>
    <col min="6" max="6" width="10.83203125" style="20"/>
    <col min="7" max="7" width="9.83203125" style="20" customWidth="1"/>
    <col min="8" max="8" width="10.83203125" style="20"/>
    <col min="9" max="9" width="10.6640625" style="20" customWidth="1"/>
    <col min="10" max="10" width="9.83203125" style="20" customWidth="1"/>
    <col min="11" max="16384" width="10.83203125" style="20"/>
  </cols>
  <sheetData>
    <row r="1" spans="1:10" ht="36" customHeight="1" x14ac:dyDescent="0.2">
      <c r="A1" s="363" t="s">
        <v>2141</v>
      </c>
      <c r="B1" s="363"/>
      <c r="C1" s="363"/>
      <c r="D1" s="363"/>
      <c r="E1" s="363"/>
      <c r="F1" s="363"/>
      <c r="G1" s="363"/>
      <c r="H1" s="363"/>
      <c r="I1" s="363"/>
      <c r="J1" s="363"/>
    </row>
    <row r="2" spans="1:10" ht="12" customHeight="1" x14ac:dyDescent="0.2">
      <c r="A2" s="364"/>
      <c r="B2" s="364"/>
      <c r="C2" s="364"/>
      <c r="D2" s="364"/>
      <c r="E2" s="364"/>
      <c r="F2" s="364"/>
      <c r="G2" s="364"/>
      <c r="H2" s="364"/>
      <c r="I2" s="364"/>
      <c r="J2" s="364"/>
    </row>
    <row r="3" spans="1:10" ht="19" customHeight="1" x14ac:dyDescent="0.2">
      <c r="A3" s="365" t="s">
        <v>2142</v>
      </c>
      <c r="B3" s="366"/>
      <c r="C3" s="366"/>
      <c r="D3" s="366"/>
      <c r="E3" s="366"/>
      <c r="F3" s="366"/>
      <c r="G3" s="366"/>
      <c r="H3" s="366"/>
      <c r="I3" s="366"/>
      <c r="J3" s="366"/>
    </row>
    <row r="4" spans="1:10" ht="9" customHeight="1" x14ac:dyDescent="0.2">
      <c r="A4" s="366"/>
      <c r="B4" s="366"/>
      <c r="C4" s="366"/>
      <c r="D4" s="366"/>
      <c r="E4" s="366"/>
      <c r="F4" s="366"/>
      <c r="G4" s="366"/>
      <c r="H4" s="366"/>
      <c r="I4" s="366"/>
      <c r="J4" s="366"/>
    </row>
    <row r="5" spans="1:10" ht="36" customHeight="1" x14ac:dyDescent="0.2">
      <c r="A5" s="366" t="s">
        <v>2143</v>
      </c>
      <c r="B5" s="366"/>
      <c r="C5" s="366"/>
      <c r="D5" s="366"/>
      <c r="E5" s="366"/>
      <c r="F5" s="366"/>
      <c r="G5" s="366"/>
      <c r="H5" s="366"/>
      <c r="I5" s="366"/>
      <c r="J5" s="366"/>
    </row>
    <row r="6" spans="1:10" ht="10" customHeight="1" x14ac:dyDescent="0.2">
      <c r="A6" s="203"/>
    </row>
    <row r="7" spans="1:10" ht="17" customHeight="1" x14ac:dyDescent="0.2">
      <c r="A7" s="367" t="s">
        <v>2144</v>
      </c>
      <c r="B7" s="367"/>
      <c r="C7" s="367"/>
      <c r="D7" s="367"/>
      <c r="E7" s="367"/>
      <c r="F7" s="367"/>
      <c r="G7" s="367"/>
      <c r="H7" s="367"/>
      <c r="I7" s="367"/>
      <c r="J7" s="367"/>
    </row>
    <row r="8" spans="1:10" ht="19" customHeight="1" x14ac:dyDescent="0.2">
      <c r="A8" s="369" t="s">
        <v>2145</v>
      </c>
      <c r="B8" s="369"/>
      <c r="C8" s="369"/>
      <c r="D8" s="369"/>
      <c r="E8" s="369"/>
      <c r="F8" s="369"/>
      <c r="G8" s="369"/>
      <c r="H8" s="369"/>
      <c r="I8" s="369"/>
      <c r="J8" s="369"/>
    </row>
    <row r="9" spans="1:10" ht="36" customHeight="1" x14ac:dyDescent="0.2">
      <c r="A9" s="202"/>
    </row>
    <row r="10" spans="1:10" s="204" customFormat="1" ht="57.5" customHeight="1" x14ac:dyDescent="0.2">
      <c r="A10" s="368" t="s">
        <v>2146</v>
      </c>
      <c r="B10" s="368"/>
      <c r="C10" s="368"/>
      <c r="D10" s="368"/>
      <c r="E10" s="368"/>
      <c r="F10" s="368"/>
      <c r="G10" s="368"/>
      <c r="H10" s="368"/>
      <c r="I10" s="368"/>
      <c r="J10" s="368"/>
    </row>
    <row r="11" spans="1:10" s="204" customFormat="1" ht="57.5" customHeight="1" x14ac:dyDescent="0.2">
      <c r="A11" s="368" t="s">
        <v>2147</v>
      </c>
      <c r="B11" s="368"/>
      <c r="C11" s="368"/>
      <c r="D11" s="368"/>
      <c r="E11" s="368"/>
      <c r="F11" s="368"/>
      <c r="G11" s="368"/>
      <c r="H11" s="368"/>
      <c r="I11" s="368"/>
      <c r="J11" s="368"/>
    </row>
    <row r="12" spans="1:10" s="204" customFormat="1" ht="57.5" customHeight="1" x14ac:dyDescent="0.2">
      <c r="A12" s="365" t="s">
        <v>2148</v>
      </c>
      <c r="B12" s="365"/>
      <c r="C12" s="365"/>
      <c r="D12" s="365"/>
      <c r="E12" s="365"/>
      <c r="F12" s="365"/>
      <c r="G12" s="365"/>
      <c r="H12" s="365"/>
      <c r="I12" s="365"/>
      <c r="J12" s="365"/>
    </row>
    <row r="13" spans="1:10" s="204" customFormat="1" ht="57.5" customHeight="1" x14ac:dyDescent="0.2">
      <c r="A13" s="365" t="s">
        <v>2149</v>
      </c>
      <c r="B13" s="365"/>
      <c r="C13" s="365"/>
      <c r="D13" s="365"/>
      <c r="E13" s="365"/>
      <c r="F13" s="365"/>
      <c r="G13" s="365"/>
      <c r="H13" s="365"/>
      <c r="I13" s="365"/>
      <c r="J13" s="365"/>
    </row>
    <row r="14" spans="1:10" s="204" customFormat="1" ht="57.5" customHeight="1" x14ac:dyDescent="0.2">
      <c r="A14" s="368" t="s">
        <v>2150</v>
      </c>
      <c r="B14" s="368"/>
      <c r="C14" s="368"/>
      <c r="D14" s="368"/>
      <c r="E14" s="368"/>
      <c r="F14" s="368"/>
      <c r="G14" s="368"/>
      <c r="H14" s="368"/>
      <c r="I14" s="368"/>
      <c r="J14" s="368"/>
    </row>
    <row r="15" spans="1:10" s="204" customFormat="1" ht="57.5" customHeight="1" x14ac:dyDescent="0.2">
      <c r="A15" s="368" t="s">
        <v>2151</v>
      </c>
      <c r="B15" s="368"/>
      <c r="C15" s="368"/>
      <c r="D15" s="368"/>
      <c r="E15" s="368"/>
      <c r="F15" s="368"/>
      <c r="G15" s="368"/>
      <c r="H15" s="368"/>
      <c r="I15" s="368"/>
      <c r="J15" s="368"/>
    </row>
    <row r="16" spans="1:10" s="204" customFormat="1" ht="57.5" customHeight="1" x14ac:dyDescent="0.2">
      <c r="A16" s="368" t="s">
        <v>2152</v>
      </c>
      <c r="B16" s="368"/>
      <c r="C16" s="368"/>
      <c r="D16" s="368"/>
      <c r="E16" s="368"/>
      <c r="F16" s="368"/>
      <c r="G16" s="368"/>
      <c r="H16" s="368"/>
      <c r="I16" s="368"/>
      <c r="J16" s="368"/>
    </row>
    <row r="17" spans="1:10" s="204" customFormat="1" ht="57.5" customHeight="1" x14ac:dyDescent="0.2">
      <c r="A17" s="368" t="s">
        <v>2153</v>
      </c>
      <c r="B17" s="368"/>
      <c r="C17" s="368"/>
      <c r="D17" s="368"/>
      <c r="E17" s="368"/>
      <c r="F17" s="368"/>
      <c r="G17" s="368"/>
      <c r="H17" s="368"/>
      <c r="I17" s="368"/>
      <c r="J17" s="368"/>
    </row>
    <row r="18" spans="1:10" s="204" customFormat="1" ht="57.5" customHeight="1" x14ac:dyDescent="0.2">
      <c r="A18" s="368" t="s">
        <v>2154</v>
      </c>
      <c r="B18" s="368"/>
      <c r="C18" s="368"/>
      <c r="D18" s="368"/>
      <c r="E18" s="368"/>
      <c r="F18" s="368"/>
      <c r="G18" s="368"/>
      <c r="H18" s="368"/>
      <c r="I18" s="368"/>
      <c r="J18" s="368"/>
    </row>
    <row r="19" spans="1:10" s="204" customFormat="1" ht="111" customHeight="1" x14ac:dyDescent="0.2">
      <c r="A19" s="368" t="s">
        <v>2155</v>
      </c>
      <c r="B19" s="368"/>
      <c r="C19" s="368"/>
      <c r="D19" s="368"/>
      <c r="E19" s="368"/>
      <c r="F19" s="368"/>
      <c r="G19" s="368"/>
      <c r="H19" s="368"/>
      <c r="I19" s="368"/>
      <c r="J19" s="368"/>
    </row>
    <row r="20" spans="1:10" s="204" customFormat="1" ht="57.5" customHeight="1" x14ac:dyDescent="0.2">
      <c r="A20" s="368" t="s">
        <v>2156</v>
      </c>
      <c r="B20" s="368"/>
      <c r="C20" s="368"/>
      <c r="D20" s="368"/>
      <c r="E20" s="368"/>
      <c r="F20" s="368"/>
      <c r="G20" s="368"/>
      <c r="H20" s="368"/>
      <c r="I20" s="368"/>
      <c r="J20" s="368"/>
    </row>
    <row r="21" spans="1:10" s="204" customFormat="1" ht="57.5" customHeight="1" x14ac:dyDescent="0.2">
      <c r="A21" s="368" t="s">
        <v>2157</v>
      </c>
      <c r="B21" s="368"/>
      <c r="C21" s="368"/>
      <c r="D21" s="368"/>
      <c r="E21" s="368"/>
      <c r="F21" s="368"/>
      <c r="G21" s="368"/>
      <c r="H21" s="368"/>
      <c r="I21" s="368"/>
      <c r="J21" s="368"/>
    </row>
    <row r="22" spans="1:10" s="204" customFormat="1" ht="57.5" customHeight="1" x14ac:dyDescent="0.2">
      <c r="A22" s="368" t="s">
        <v>2158</v>
      </c>
      <c r="B22" s="368"/>
      <c r="C22" s="368"/>
      <c r="D22" s="368"/>
      <c r="E22" s="368"/>
      <c r="F22" s="368"/>
      <c r="G22" s="368"/>
      <c r="H22" s="368"/>
      <c r="I22" s="368"/>
      <c r="J22" s="368"/>
    </row>
    <row r="23" spans="1:10" s="204" customFormat="1" ht="57.5" customHeight="1" x14ac:dyDescent="0.2">
      <c r="A23" s="368" t="s">
        <v>2159</v>
      </c>
      <c r="B23" s="368"/>
      <c r="C23" s="368"/>
      <c r="D23" s="368"/>
      <c r="E23" s="368"/>
      <c r="F23" s="368"/>
      <c r="G23" s="368"/>
      <c r="H23" s="368"/>
      <c r="I23" s="368"/>
      <c r="J23" s="368"/>
    </row>
    <row r="24" spans="1:10" s="204" customFormat="1" ht="57.5" customHeight="1" x14ac:dyDescent="0.2">
      <c r="A24" s="370" t="s">
        <v>2160</v>
      </c>
      <c r="B24" s="370"/>
      <c r="C24" s="370"/>
      <c r="D24" s="370"/>
      <c r="E24" s="370"/>
      <c r="F24" s="370"/>
      <c r="G24" s="370"/>
      <c r="H24" s="370"/>
      <c r="I24" s="370"/>
      <c r="J24" s="370"/>
    </row>
    <row r="25" spans="1:10" s="204" customFormat="1" ht="74" customHeight="1" x14ac:dyDescent="0.2">
      <c r="A25" s="368" t="s">
        <v>2161</v>
      </c>
      <c r="B25" s="368"/>
      <c r="C25" s="368"/>
      <c r="D25" s="368"/>
      <c r="E25" s="368"/>
      <c r="F25" s="368"/>
      <c r="G25" s="368"/>
      <c r="H25" s="368"/>
      <c r="I25" s="368"/>
      <c r="J25" s="368"/>
    </row>
    <row r="26" spans="1:10" s="204" customFormat="1" ht="57.5" customHeight="1" x14ac:dyDescent="0.2">
      <c r="A26" s="368" t="s">
        <v>2162</v>
      </c>
      <c r="B26" s="368"/>
      <c r="C26" s="368"/>
      <c r="D26" s="368"/>
      <c r="E26" s="368"/>
      <c r="F26" s="368"/>
      <c r="G26" s="368"/>
      <c r="H26" s="368"/>
      <c r="I26" s="368"/>
      <c r="J26" s="368"/>
    </row>
    <row r="27" spans="1:10" s="204" customFormat="1" ht="57.5" customHeight="1" x14ac:dyDescent="0.2">
      <c r="A27" s="368" t="s">
        <v>2163</v>
      </c>
      <c r="B27" s="368"/>
      <c r="C27" s="368"/>
      <c r="D27" s="368"/>
      <c r="E27" s="368"/>
      <c r="F27" s="368"/>
      <c r="G27" s="368"/>
      <c r="H27" s="368"/>
      <c r="I27" s="368"/>
      <c r="J27" s="368"/>
    </row>
    <row r="28" spans="1:10" s="204" customFormat="1" ht="57.5" customHeight="1" x14ac:dyDescent="0.2">
      <c r="A28" s="368" t="s">
        <v>2164</v>
      </c>
      <c r="B28" s="368"/>
      <c r="C28" s="368"/>
      <c r="D28" s="368"/>
      <c r="E28" s="368"/>
      <c r="F28" s="368"/>
      <c r="G28" s="368"/>
      <c r="H28" s="368"/>
      <c r="I28" s="368"/>
      <c r="J28" s="368"/>
    </row>
    <row r="29" spans="1:10" s="204" customFormat="1" ht="57.5" customHeight="1" x14ac:dyDescent="0.2">
      <c r="A29" s="368" t="s">
        <v>2165</v>
      </c>
      <c r="B29" s="368"/>
      <c r="C29" s="368"/>
      <c r="D29" s="368"/>
      <c r="E29" s="368"/>
      <c r="F29" s="368"/>
      <c r="G29" s="368"/>
      <c r="H29" s="368"/>
      <c r="I29" s="368"/>
      <c r="J29" s="368"/>
    </row>
    <row r="30" spans="1:10" s="204" customFormat="1" ht="57.5" customHeight="1" x14ac:dyDescent="0.2">
      <c r="A30" s="368" t="s">
        <v>2166</v>
      </c>
      <c r="B30" s="368"/>
      <c r="C30" s="368"/>
      <c r="D30" s="368"/>
      <c r="E30" s="368"/>
      <c r="F30" s="368"/>
      <c r="G30" s="368"/>
      <c r="H30" s="368"/>
      <c r="I30" s="368"/>
      <c r="J30" s="368"/>
    </row>
    <row r="31" spans="1:10" s="204" customFormat="1" ht="57.5" customHeight="1" x14ac:dyDescent="0.2">
      <c r="A31" s="368" t="s">
        <v>2167</v>
      </c>
      <c r="B31" s="368"/>
      <c r="C31" s="368"/>
      <c r="D31" s="368"/>
      <c r="E31" s="368"/>
      <c r="F31" s="368"/>
      <c r="G31" s="368"/>
      <c r="H31" s="368"/>
      <c r="I31" s="368"/>
      <c r="J31" s="368"/>
    </row>
    <row r="32" spans="1:10" s="204" customFormat="1" ht="57.5" customHeight="1" x14ac:dyDescent="0.2">
      <c r="A32" s="368" t="s">
        <v>2168</v>
      </c>
      <c r="B32" s="368"/>
      <c r="C32" s="368"/>
      <c r="D32" s="368"/>
      <c r="E32" s="368"/>
      <c r="F32" s="368"/>
      <c r="G32" s="368"/>
      <c r="H32" s="368"/>
      <c r="I32" s="368"/>
      <c r="J32" s="368"/>
    </row>
    <row r="33" spans="1:10" s="204" customFormat="1" ht="57.5" customHeight="1" x14ac:dyDescent="0.2">
      <c r="A33" s="368" t="s">
        <v>2169</v>
      </c>
      <c r="B33" s="368"/>
      <c r="C33" s="368"/>
      <c r="D33" s="368"/>
      <c r="E33" s="368"/>
      <c r="F33" s="368"/>
      <c r="G33" s="368"/>
      <c r="H33" s="368"/>
      <c r="I33" s="368"/>
      <c r="J33" s="368"/>
    </row>
    <row r="34" spans="1:10" s="204" customFormat="1" ht="57.5" customHeight="1" x14ac:dyDescent="0.2">
      <c r="A34" s="368" t="s">
        <v>2170</v>
      </c>
      <c r="B34" s="368"/>
      <c r="C34" s="368"/>
      <c r="D34" s="368"/>
      <c r="E34" s="368"/>
      <c r="F34" s="368"/>
      <c r="G34" s="368"/>
      <c r="H34" s="368"/>
      <c r="I34" s="368"/>
      <c r="J34" s="368"/>
    </row>
    <row r="35" spans="1:10" s="204" customFormat="1" ht="57.5" customHeight="1" x14ac:dyDescent="0.2">
      <c r="A35" s="368" t="s">
        <v>2171</v>
      </c>
      <c r="B35" s="368"/>
      <c r="C35" s="368"/>
      <c r="D35" s="368"/>
      <c r="E35" s="368"/>
      <c r="F35" s="368"/>
      <c r="G35" s="368"/>
      <c r="H35" s="368"/>
      <c r="I35" s="368"/>
      <c r="J35" s="368"/>
    </row>
    <row r="36" spans="1:10" s="204" customFormat="1" ht="57.5" customHeight="1" x14ac:dyDescent="0.2">
      <c r="A36" s="368" t="s">
        <v>2172</v>
      </c>
      <c r="B36" s="368"/>
      <c r="C36" s="368"/>
      <c r="D36" s="368"/>
      <c r="E36" s="368"/>
      <c r="F36" s="368"/>
      <c r="G36" s="368"/>
      <c r="H36" s="368"/>
      <c r="I36" s="368"/>
      <c r="J36" s="368"/>
    </row>
    <row r="37" spans="1:10" s="204" customFormat="1" ht="57.5" customHeight="1" x14ac:dyDescent="0.2">
      <c r="A37" s="368" t="s">
        <v>2173</v>
      </c>
      <c r="B37" s="368"/>
      <c r="C37" s="368"/>
      <c r="D37" s="368"/>
      <c r="E37" s="368"/>
      <c r="F37" s="368"/>
      <c r="G37" s="368"/>
      <c r="H37" s="368"/>
      <c r="I37" s="368"/>
      <c r="J37" s="368"/>
    </row>
    <row r="38" spans="1:10" s="204" customFormat="1" ht="57.5" customHeight="1" x14ac:dyDescent="0.2">
      <c r="A38" s="368" t="s">
        <v>2174</v>
      </c>
      <c r="B38" s="368"/>
      <c r="C38" s="368"/>
      <c r="D38" s="368"/>
      <c r="E38" s="368"/>
      <c r="F38" s="368"/>
      <c r="G38" s="368"/>
      <c r="H38" s="368"/>
      <c r="I38" s="368"/>
      <c r="J38" s="368"/>
    </row>
    <row r="39" spans="1:10" s="204" customFormat="1" ht="57.5" customHeight="1" x14ac:dyDescent="0.2">
      <c r="A39" s="368" t="s">
        <v>2175</v>
      </c>
      <c r="B39" s="368"/>
      <c r="C39" s="368"/>
      <c r="D39" s="368"/>
      <c r="E39" s="368"/>
      <c r="F39" s="368"/>
      <c r="G39" s="368"/>
      <c r="H39" s="368"/>
      <c r="I39" s="368"/>
      <c r="J39" s="368"/>
    </row>
    <row r="40" spans="1:10" s="204" customFormat="1" ht="57.5" customHeight="1" x14ac:dyDescent="0.2">
      <c r="A40" s="368" t="s">
        <v>2176</v>
      </c>
      <c r="B40" s="368"/>
      <c r="C40" s="368"/>
      <c r="D40" s="368"/>
      <c r="E40" s="368"/>
      <c r="F40" s="368"/>
      <c r="G40" s="368"/>
      <c r="H40" s="368"/>
      <c r="I40" s="368"/>
      <c r="J40" s="368"/>
    </row>
    <row r="41" spans="1:10" s="204" customFormat="1" ht="57.5" customHeight="1" x14ac:dyDescent="0.2">
      <c r="A41" s="368" t="s">
        <v>2177</v>
      </c>
      <c r="B41" s="368"/>
      <c r="C41" s="368"/>
      <c r="D41" s="368"/>
      <c r="E41" s="368"/>
      <c r="F41" s="368"/>
      <c r="G41" s="368"/>
      <c r="H41" s="368"/>
      <c r="I41" s="368"/>
      <c r="J41" s="368"/>
    </row>
    <row r="42" spans="1:10" s="204" customFormat="1" ht="57.5" customHeight="1" x14ac:dyDescent="0.2">
      <c r="A42" s="368" t="s">
        <v>2178</v>
      </c>
      <c r="B42" s="368"/>
      <c r="C42" s="368"/>
      <c r="D42" s="368"/>
      <c r="E42" s="368"/>
      <c r="F42" s="368"/>
      <c r="G42" s="368"/>
      <c r="H42" s="368"/>
      <c r="I42" s="368"/>
      <c r="J42" s="368"/>
    </row>
    <row r="43" spans="1:10" s="204" customFormat="1" ht="57.5" customHeight="1" x14ac:dyDescent="0.2">
      <c r="A43" s="368" t="s">
        <v>2179</v>
      </c>
      <c r="B43" s="368"/>
      <c r="C43" s="368"/>
      <c r="D43" s="368"/>
      <c r="E43" s="368"/>
      <c r="F43" s="368"/>
      <c r="G43" s="368"/>
      <c r="H43" s="368"/>
      <c r="I43" s="368"/>
      <c r="J43" s="368"/>
    </row>
    <row r="44" spans="1:10" s="204" customFormat="1" ht="57.5" customHeight="1" x14ac:dyDescent="0.2">
      <c r="A44" s="368" t="s">
        <v>2180</v>
      </c>
      <c r="B44" s="368"/>
      <c r="C44" s="368"/>
      <c r="D44" s="368"/>
      <c r="E44" s="368"/>
      <c r="F44" s="368"/>
      <c r="G44" s="368"/>
      <c r="H44" s="368"/>
      <c r="I44" s="368"/>
      <c r="J44" s="368"/>
    </row>
    <row r="45" spans="1:10" s="204" customFormat="1" ht="57.5" customHeight="1" x14ac:dyDescent="0.2">
      <c r="A45" s="368" t="s">
        <v>2181</v>
      </c>
      <c r="B45" s="368"/>
      <c r="C45" s="368"/>
      <c r="D45" s="368"/>
      <c r="E45" s="368"/>
      <c r="F45" s="368"/>
      <c r="G45" s="368"/>
      <c r="H45" s="368"/>
      <c r="I45" s="368"/>
      <c r="J45" s="368"/>
    </row>
    <row r="46" spans="1:10" s="204" customFormat="1" ht="78" customHeight="1" x14ac:dyDescent="0.2">
      <c r="A46" s="368" t="s">
        <v>2182</v>
      </c>
      <c r="B46" s="368"/>
      <c r="C46" s="368"/>
      <c r="D46" s="368"/>
      <c r="E46" s="368"/>
      <c r="F46" s="368"/>
      <c r="G46" s="368"/>
      <c r="H46" s="368"/>
      <c r="I46" s="368"/>
      <c r="J46" s="368"/>
    </row>
    <row r="47" spans="1:10" s="204" customFormat="1" ht="57.5" customHeight="1" x14ac:dyDescent="0.2">
      <c r="A47" s="368" t="s">
        <v>2183</v>
      </c>
      <c r="B47" s="368"/>
      <c r="C47" s="368"/>
      <c r="D47" s="368"/>
      <c r="E47" s="368"/>
      <c r="F47" s="368"/>
      <c r="G47" s="368"/>
      <c r="H47" s="368"/>
      <c r="I47" s="368"/>
      <c r="J47" s="368"/>
    </row>
    <row r="48" spans="1:10" s="204" customFormat="1" ht="57.5" customHeight="1" x14ac:dyDescent="0.2">
      <c r="A48" s="368" t="s">
        <v>2184</v>
      </c>
      <c r="B48" s="368"/>
      <c r="C48" s="368"/>
      <c r="D48" s="368"/>
      <c r="E48" s="368"/>
      <c r="F48" s="368"/>
      <c r="G48" s="368"/>
      <c r="H48" s="368"/>
      <c r="I48" s="368"/>
      <c r="J48" s="368"/>
    </row>
    <row r="49" spans="1:10" s="204" customFormat="1" ht="72" customHeight="1" x14ac:dyDescent="0.2">
      <c r="A49" s="370" t="s">
        <v>2185</v>
      </c>
      <c r="B49" s="370"/>
      <c r="C49" s="370"/>
      <c r="D49" s="370"/>
      <c r="E49" s="370"/>
      <c r="F49" s="370"/>
      <c r="G49" s="370"/>
      <c r="H49" s="370"/>
      <c r="I49" s="370"/>
      <c r="J49" s="370"/>
    </row>
    <row r="50" spans="1:10" s="204" customFormat="1" ht="125" customHeight="1" x14ac:dyDescent="0.2">
      <c r="A50" s="370" t="s">
        <v>2186</v>
      </c>
      <c r="B50" s="370"/>
      <c r="C50" s="370"/>
      <c r="D50" s="370"/>
      <c r="E50" s="370"/>
      <c r="F50" s="370"/>
      <c r="G50" s="370"/>
      <c r="H50" s="370"/>
      <c r="I50" s="370"/>
      <c r="J50" s="370"/>
    </row>
    <row r="51" spans="1:10" s="204" customFormat="1" ht="57.5" customHeight="1" x14ac:dyDescent="0.2">
      <c r="A51" s="370" t="s">
        <v>2187</v>
      </c>
      <c r="B51" s="370"/>
      <c r="C51" s="370"/>
      <c r="D51" s="370"/>
      <c r="E51" s="370"/>
      <c r="F51" s="370"/>
      <c r="G51" s="370"/>
      <c r="H51" s="370"/>
      <c r="I51" s="370"/>
      <c r="J51" s="370"/>
    </row>
    <row r="52" spans="1:10" s="204" customFormat="1" ht="57.5" customHeight="1" x14ac:dyDescent="0.2">
      <c r="A52" s="368" t="s">
        <v>2188</v>
      </c>
      <c r="B52" s="368"/>
      <c r="C52" s="368"/>
      <c r="D52" s="368"/>
      <c r="E52" s="368"/>
      <c r="F52" s="368"/>
      <c r="G52" s="368"/>
      <c r="H52" s="368"/>
      <c r="I52" s="368"/>
      <c r="J52" s="368"/>
    </row>
    <row r="53" spans="1:10" s="204" customFormat="1" ht="57.5" customHeight="1" x14ac:dyDescent="0.2">
      <c r="A53" s="368" t="s">
        <v>2189</v>
      </c>
      <c r="B53" s="368"/>
      <c r="C53" s="368"/>
      <c r="D53" s="368"/>
      <c r="E53" s="368"/>
      <c r="F53" s="368"/>
      <c r="G53" s="368"/>
      <c r="H53" s="368"/>
      <c r="I53" s="368"/>
      <c r="J53" s="368"/>
    </row>
    <row r="54" spans="1:10" s="204" customFormat="1" ht="57.5" customHeight="1" x14ac:dyDescent="0.2">
      <c r="A54" s="368" t="s">
        <v>2190</v>
      </c>
      <c r="B54" s="368"/>
      <c r="C54" s="368"/>
      <c r="D54" s="368"/>
      <c r="E54" s="368"/>
      <c r="F54" s="368"/>
      <c r="G54" s="368"/>
      <c r="H54" s="368"/>
      <c r="I54" s="368"/>
      <c r="J54" s="368"/>
    </row>
    <row r="55" spans="1:10" s="204" customFormat="1" ht="57.5" customHeight="1" x14ac:dyDescent="0.2">
      <c r="A55" s="368" t="s">
        <v>2191</v>
      </c>
      <c r="B55" s="368"/>
      <c r="C55" s="368"/>
      <c r="D55" s="368"/>
      <c r="E55" s="368"/>
      <c r="F55" s="368"/>
      <c r="G55" s="368"/>
      <c r="H55" s="368"/>
      <c r="I55" s="368"/>
      <c r="J55" s="368"/>
    </row>
    <row r="56" spans="1:10" s="204" customFormat="1" ht="80" customHeight="1" x14ac:dyDescent="0.2">
      <c r="A56" s="368" t="s">
        <v>2192</v>
      </c>
      <c r="B56" s="368"/>
      <c r="C56" s="368"/>
      <c r="D56" s="368"/>
      <c r="E56" s="368"/>
      <c r="F56" s="368"/>
      <c r="G56" s="368"/>
      <c r="H56" s="368"/>
      <c r="I56" s="368"/>
      <c r="J56" s="368"/>
    </row>
    <row r="57" spans="1:10" s="204" customFormat="1" ht="57.5" customHeight="1" x14ac:dyDescent="0.2">
      <c r="A57" s="368" t="s">
        <v>2193</v>
      </c>
      <c r="B57" s="368"/>
      <c r="C57" s="368"/>
      <c r="D57" s="368"/>
      <c r="E57" s="368"/>
      <c r="F57" s="368"/>
      <c r="G57" s="368"/>
      <c r="H57" s="368"/>
      <c r="I57" s="368"/>
      <c r="J57" s="368"/>
    </row>
    <row r="58" spans="1:10" s="204" customFormat="1" ht="57.5" customHeight="1" x14ac:dyDescent="0.2">
      <c r="A58" s="368" t="s">
        <v>2194</v>
      </c>
      <c r="B58" s="368"/>
      <c r="C58" s="368"/>
      <c r="D58" s="368"/>
      <c r="E58" s="368"/>
      <c r="F58" s="368"/>
      <c r="G58" s="368"/>
      <c r="H58" s="368"/>
      <c r="I58" s="368"/>
      <c r="J58" s="368"/>
    </row>
    <row r="59" spans="1:10" s="204" customFormat="1" ht="57.5" customHeight="1" x14ac:dyDescent="0.2">
      <c r="A59" s="368" t="s">
        <v>2195</v>
      </c>
      <c r="B59" s="368"/>
      <c r="C59" s="368"/>
      <c r="D59" s="368"/>
      <c r="E59" s="368"/>
      <c r="F59" s="368"/>
      <c r="G59" s="368"/>
      <c r="H59" s="368"/>
      <c r="I59" s="368"/>
      <c r="J59" s="368"/>
    </row>
    <row r="60" spans="1:10" s="204" customFormat="1" ht="57.5" customHeight="1" x14ac:dyDescent="0.2">
      <c r="A60" s="368" t="s">
        <v>2196</v>
      </c>
      <c r="B60" s="368"/>
      <c r="C60" s="368"/>
      <c r="D60" s="368"/>
      <c r="E60" s="368"/>
      <c r="F60" s="368"/>
      <c r="G60" s="368"/>
      <c r="H60" s="368"/>
      <c r="I60" s="368"/>
      <c r="J60" s="368"/>
    </row>
    <row r="61" spans="1:10" s="204" customFormat="1" ht="57.5" customHeight="1" x14ac:dyDescent="0.2">
      <c r="A61" s="368" t="s">
        <v>2197</v>
      </c>
      <c r="B61" s="368"/>
      <c r="C61" s="368"/>
      <c r="D61" s="368"/>
      <c r="E61" s="368"/>
      <c r="F61" s="368"/>
      <c r="G61" s="368"/>
      <c r="H61" s="368"/>
      <c r="I61" s="368"/>
      <c r="J61" s="368"/>
    </row>
    <row r="62" spans="1:10" s="204" customFormat="1" ht="57.5" customHeight="1" x14ac:dyDescent="0.2">
      <c r="A62" s="368" t="s">
        <v>2198</v>
      </c>
      <c r="B62" s="368"/>
      <c r="C62" s="368"/>
      <c r="D62" s="368"/>
      <c r="E62" s="368"/>
      <c r="F62" s="368"/>
      <c r="G62" s="368"/>
      <c r="H62" s="368"/>
      <c r="I62" s="368"/>
      <c r="J62" s="368"/>
    </row>
    <row r="63" spans="1:10" s="204" customFormat="1" ht="57.5" customHeight="1" x14ac:dyDescent="0.2">
      <c r="A63" s="368" t="s">
        <v>2199</v>
      </c>
      <c r="B63" s="368"/>
      <c r="C63" s="368"/>
      <c r="D63" s="368"/>
      <c r="E63" s="368"/>
      <c r="F63" s="368"/>
      <c r="G63" s="368"/>
      <c r="H63" s="368"/>
      <c r="I63" s="368"/>
      <c r="J63" s="368"/>
    </row>
    <row r="64" spans="1:10" s="204" customFormat="1" ht="57.5" customHeight="1" x14ac:dyDescent="0.2">
      <c r="A64" s="368" t="s">
        <v>2200</v>
      </c>
      <c r="B64" s="368"/>
      <c r="C64" s="368"/>
      <c r="D64" s="368"/>
      <c r="E64" s="368"/>
      <c r="F64" s="368"/>
      <c r="G64" s="368"/>
      <c r="H64" s="368"/>
      <c r="I64" s="368"/>
      <c r="J64" s="368"/>
    </row>
    <row r="65" spans="1:10" s="204" customFormat="1" ht="57.5" customHeight="1" x14ac:dyDescent="0.2">
      <c r="A65" s="368" t="s">
        <v>2201</v>
      </c>
      <c r="B65" s="368"/>
      <c r="C65" s="368"/>
      <c r="D65" s="368"/>
      <c r="E65" s="368"/>
      <c r="F65" s="368"/>
      <c r="G65" s="368"/>
      <c r="H65" s="368"/>
      <c r="I65" s="368"/>
      <c r="J65" s="368"/>
    </row>
    <row r="66" spans="1:10" s="204" customFormat="1" ht="57.5" customHeight="1" x14ac:dyDescent="0.2">
      <c r="A66" s="368" t="s">
        <v>2202</v>
      </c>
      <c r="B66" s="368"/>
      <c r="C66" s="368"/>
      <c r="D66" s="368"/>
      <c r="E66" s="368"/>
      <c r="F66" s="368"/>
      <c r="G66" s="368"/>
      <c r="H66" s="368"/>
      <c r="I66" s="368"/>
      <c r="J66" s="368"/>
    </row>
    <row r="67" spans="1:10" s="204" customFormat="1" ht="76" customHeight="1" x14ac:dyDescent="0.2">
      <c r="A67" s="368" t="s">
        <v>2203</v>
      </c>
      <c r="B67" s="368"/>
      <c r="C67" s="368"/>
      <c r="D67" s="368"/>
      <c r="E67" s="368"/>
      <c r="F67" s="368"/>
      <c r="G67" s="368"/>
      <c r="H67" s="368"/>
      <c r="I67" s="368"/>
      <c r="J67" s="368"/>
    </row>
    <row r="68" spans="1:10" s="204" customFormat="1" ht="57.5" customHeight="1" x14ac:dyDescent="0.2">
      <c r="A68" s="368" t="s">
        <v>2204</v>
      </c>
      <c r="B68" s="368"/>
      <c r="C68" s="368"/>
      <c r="D68" s="368"/>
      <c r="E68" s="368"/>
      <c r="F68" s="368"/>
      <c r="G68" s="368"/>
      <c r="H68" s="368"/>
      <c r="I68" s="368"/>
      <c r="J68" s="368"/>
    </row>
    <row r="69" spans="1:10" s="204" customFormat="1" ht="57.5" customHeight="1" x14ac:dyDescent="0.2">
      <c r="A69" s="368" t="s">
        <v>2205</v>
      </c>
      <c r="B69" s="368"/>
      <c r="C69" s="368"/>
      <c r="D69" s="368"/>
      <c r="E69" s="368"/>
      <c r="F69" s="368"/>
      <c r="G69" s="368"/>
      <c r="H69" s="368"/>
      <c r="I69" s="368"/>
      <c r="J69" s="368"/>
    </row>
    <row r="70" spans="1:10" s="204" customFormat="1" ht="57.5" customHeight="1" x14ac:dyDescent="0.2">
      <c r="A70" s="368" t="s">
        <v>2206</v>
      </c>
      <c r="B70" s="368"/>
      <c r="C70" s="368"/>
      <c r="D70" s="368"/>
      <c r="E70" s="368"/>
      <c r="F70" s="368"/>
      <c r="G70" s="368"/>
      <c r="H70" s="368"/>
      <c r="I70" s="368"/>
      <c r="J70" s="368"/>
    </row>
    <row r="71" spans="1:10" s="204" customFormat="1" ht="57.5" customHeight="1" x14ac:dyDescent="0.2">
      <c r="A71" s="368" t="s">
        <v>2207</v>
      </c>
      <c r="B71" s="368"/>
      <c r="C71" s="368"/>
      <c r="D71" s="368"/>
      <c r="E71" s="368"/>
      <c r="F71" s="368"/>
      <c r="G71" s="368"/>
      <c r="H71" s="368"/>
      <c r="I71" s="368"/>
      <c r="J71" s="368"/>
    </row>
    <row r="72" spans="1:10" s="204" customFormat="1" ht="57.5" customHeight="1" x14ac:dyDescent="0.2">
      <c r="A72" s="368" t="s">
        <v>2208</v>
      </c>
      <c r="B72" s="368"/>
      <c r="C72" s="368"/>
      <c r="D72" s="368"/>
      <c r="E72" s="368"/>
      <c r="F72" s="368"/>
      <c r="G72" s="368"/>
      <c r="H72" s="368"/>
      <c r="I72" s="368"/>
      <c r="J72" s="368"/>
    </row>
    <row r="73" spans="1:10" s="204" customFormat="1" ht="57.5" customHeight="1" x14ac:dyDescent="0.2">
      <c r="A73" s="368" t="s">
        <v>2209</v>
      </c>
      <c r="B73" s="368"/>
      <c r="C73" s="368"/>
      <c r="D73" s="368"/>
      <c r="E73" s="368"/>
      <c r="F73" s="368"/>
      <c r="G73" s="368"/>
      <c r="H73" s="368"/>
      <c r="I73" s="368"/>
      <c r="J73" s="368"/>
    </row>
    <row r="74" spans="1:10" s="204" customFormat="1" ht="57.5" customHeight="1" x14ac:dyDescent="0.2">
      <c r="A74" s="365" t="s">
        <v>2210</v>
      </c>
      <c r="B74" s="365"/>
      <c r="C74" s="365"/>
      <c r="D74" s="365"/>
      <c r="E74" s="365"/>
      <c r="F74" s="365"/>
      <c r="G74" s="365"/>
      <c r="H74" s="365"/>
      <c r="I74" s="365"/>
      <c r="J74" s="365"/>
    </row>
    <row r="75" spans="1:10" s="204" customFormat="1" ht="57.5" customHeight="1" x14ac:dyDescent="0.2">
      <c r="A75" s="365" t="s">
        <v>2211</v>
      </c>
      <c r="B75" s="365"/>
      <c r="C75" s="365"/>
      <c r="D75" s="365"/>
      <c r="E75" s="365"/>
      <c r="F75" s="365"/>
      <c r="G75" s="365"/>
      <c r="H75" s="365"/>
      <c r="I75" s="365"/>
      <c r="J75" s="365"/>
    </row>
    <row r="76" spans="1:10" s="204" customFormat="1" ht="57.5" customHeight="1" x14ac:dyDescent="0.2">
      <c r="A76" s="368" t="s">
        <v>2212</v>
      </c>
      <c r="B76" s="368"/>
      <c r="C76" s="368"/>
      <c r="D76" s="368"/>
      <c r="E76" s="368"/>
      <c r="F76" s="368"/>
      <c r="G76" s="368"/>
      <c r="H76" s="368"/>
      <c r="I76" s="368"/>
      <c r="J76" s="368"/>
    </row>
    <row r="77" spans="1:10" s="204" customFormat="1" ht="57.5" customHeight="1" x14ac:dyDescent="0.2">
      <c r="A77" s="368" t="s">
        <v>2213</v>
      </c>
      <c r="B77" s="368"/>
      <c r="C77" s="368"/>
      <c r="D77" s="368"/>
      <c r="E77" s="368"/>
      <c r="F77" s="368"/>
      <c r="G77" s="368"/>
      <c r="H77" s="368"/>
      <c r="I77" s="368"/>
      <c r="J77" s="368"/>
    </row>
    <row r="78" spans="1:10" s="204" customFormat="1" ht="57.5" customHeight="1" x14ac:dyDescent="0.2">
      <c r="A78" s="368" t="s">
        <v>2214</v>
      </c>
      <c r="B78" s="368"/>
      <c r="C78" s="368"/>
      <c r="D78" s="368"/>
      <c r="E78" s="368"/>
      <c r="F78" s="368"/>
      <c r="G78" s="368"/>
      <c r="H78" s="368"/>
      <c r="I78" s="368"/>
      <c r="J78" s="368"/>
    </row>
    <row r="79" spans="1:10" s="204" customFormat="1" ht="57.5" customHeight="1" x14ac:dyDescent="0.2">
      <c r="A79" s="368" t="s">
        <v>2215</v>
      </c>
      <c r="B79" s="368"/>
      <c r="C79" s="368"/>
      <c r="D79" s="368"/>
      <c r="E79" s="368"/>
      <c r="F79" s="368"/>
      <c r="G79" s="368"/>
      <c r="H79" s="368"/>
      <c r="I79" s="368"/>
      <c r="J79" s="368"/>
    </row>
    <row r="80" spans="1:10" s="204" customFormat="1" ht="57.5" customHeight="1" x14ac:dyDescent="0.2">
      <c r="A80" s="368" t="s">
        <v>2216</v>
      </c>
      <c r="B80" s="368"/>
      <c r="C80" s="368"/>
      <c r="D80" s="368"/>
      <c r="E80" s="368"/>
      <c r="F80" s="368"/>
      <c r="G80" s="368"/>
      <c r="H80" s="368"/>
      <c r="I80" s="368"/>
      <c r="J80" s="368"/>
    </row>
    <row r="81" spans="1:10" s="204" customFormat="1" ht="57.5" customHeight="1" x14ac:dyDescent="0.2">
      <c r="A81" s="370" t="s">
        <v>2217</v>
      </c>
      <c r="B81" s="370"/>
      <c r="C81" s="370"/>
      <c r="D81" s="370"/>
      <c r="E81" s="370"/>
      <c r="F81" s="370"/>
      <c r="G81" s="370"/>
      <c r="H81" s="370"/>
      <c r="I81" s="370"/>
      <c r="J81" s="370"/>
    </row>
    <row r="82" spans="1:10" s="204" customFormat="1" ht="70" customHeight="1" x14ac:dyDescent="0.2">
      <c r="A82" s="370" t="s">
        <v>2218</v>
      </c>
      <c r="B82" s="370"/>
      <c r="C82" s="370"/>
      <c r="D82" s="370"/>
      <c r="E82" s="370"/>
      <c r="F82" s="370"/>
      <c r="G82" s="370"/>
      <c r="H82" s="370"/>
      <c r="I82" s="370"/>
      <c r="J82" s="370"/>
    </row>
    <row r="83" spans="1:10" s="204" customFormat="1" ht="57.5" customHeight="1" x14ac:dyDescent="0.2">
      <c r="A83" s="368" t="s">
        <v>2219</v>
      </c>
      <c r="B83" s="368"/>
      <c r="C83" s="368"/>
      <c r="D83" s="368"/>
      <c r="E83" s="368"/>
      <c r="F83" s="368"/>
      <c r="G83" s="368"/>
      <c r="H83" s="368"/>
      <c r="I83" s="368"/>
      <c r="J83" s="368"/>
    </row>
    <row r="84" spans="1:10" s="204" customFormat="1" ht="57.5" customHeight="1" x14ac:dyDescent="0.2">
      <c r="A84" s="368" t="s">
        <v>2220</v>
      </c>
      <c r="B84" s="368"/>
      <c r="C84" s="368"/>
      <c r="D84" s="368"/>
      <c r="E84" s="368"/>
      <c r="F84" s="368"/>
      <c r="G84" s="368"/>
      <c r="H84" s="368"/>
      <c r="I84" s="368"/>
      <c r="J84" s="368"/>
    </row>
    <row r="85" spans="1:10" s="204" customFormat="1" ht="57.5" customHeight="1" x14ac:dyDescent="0.2">
      <c r="A85" s="370" t="s">
        <v>2221</v>
      </c>
      <c r="B85" s="370"/>
      <c r="C85" s="370"/>
      <c r="D85" s="370"/>
      <c r="E85" s="370"/>
      <c r="F85" s="370"/>
      <c r="G85" s="370"/>
      <c r="H85" s="370"/>
      <c r="I85" s="370"/>
      <c r="J85" s="370"/>
    </row>
    <row r="86" spans="1:10" s="204" customFormat="1" ht="57.5" customHeight="1" x14ac:dyDescent="0.2">
      <c r="A86" s="368" t="s">
        <v>2222</v>
      </c>
      <c r="B86" s="368"/>
      <c r="C86" s="368"/>
      <c r="D86" s="368"/>
      <c r="E86" s="368"/>
      <c r="F86" s="368"/>
      <c r="G86" s="368"/>
      <c r="H86" s="368"/>
      <c r="I86" s="368"/>
      <c r="J86" s="368"/>
    </row>
    <row r="87" spans="1:10" s="204" customFormat="1" ht="57.5" customHeight="1" x14ac:dyDescent="0.2">
      <c r="A87" s="368" t="s">
        <v>2223</v>
      </c>
      <c r="B87" s="368"/>
      <c r="C87" s="368"/>
      <c r="D87" s="368"/>
      <c r="E87" s="368"/>
      <c r="F87" s="368"/>
      <c r="G87" s="368"/>
      <c r="H87" s="368"/>
      <c r="I87" s="368"/>
      <c r="J87" s="368"/>
    </row>
    <row r="88" spans="1:10" s="204" customFormat="1" ht="57.5" customHeight="1" x14ac:dyDescent="0.2">
      <c r="A88" s="368" t="s">
        <v>2224</v>
      </c>
      <c r="B88" s="368"/>
      <c r="C88" s="368"/>
      <c r="D88" s="368"/>
      <c r="E88" s="368"/>
      <c r="F88" s="368"/>
      <c r="G88" s="368"/>
      <c r="H88" s="368"/>
      <c r="I88" s="368"/>
      <c r="J88" s="368"/>
    </row>
    <row r="89" spans="1:10" s="204" customFormat="1" ht="57.5" customHeight="1" x14ac:dyDescent="0.2">
      <c r="A89" s="368" t="s">
        <v>2225</v>
      </c>
      <c r="B89" s="368"/>
      <c r="C89" s="368"/>
      <c r="D89" s="368"/>
      <c r="E89" s="368"/>
      <c r="F89" s="368"/>
      <c r="G89" s="368"/>
      <c r="H89" s="368"/>
      <c r="I89" s="368"/>
      <c r="J89" s="368"/>
    </row>
    <row r="90" spans="1:10" s="204" customFormat="1" ht="57.5" customHeight="1" x14ac:dyDescent="0.2">
      <c r="A90" s="368" t="s">
        <v>2226</v>
      </c>
      <c r="B90" s="368"/>
      <c r="C90" s="368"/>
      <c r="D90" s="368"/>
      <c r="E90" s="368"/>
      <c r="F90" s="368"/>
      <c r="G90" s="368"/>
      <c r="H90" s="368"/>
      <c r="I90" s="368"/>
      <c r="J90" s="368"/>
    </row>
    <row r="91" spans="1:10" s="204" customFormat="1" ht="57.5" customHeight="1" x14ac:dyDescent="0.2">
      <c r="A91" s="368" t="s">
        <v>2227</v>
      </c>
      <c r="B91" s="368"/>
      <c r="C91" s="368"/>
      <c r="D91" s="368"/>
      <c r="E91" s="368"/>
      <c r="F91" s="368"/>
      <c r="G91" s="368"/>
      <c r="H91" s="368"/>
      <c r="I91" s="368"/>
      <c r="J91" s="368"/>
    </row>
    <row r="92" spans="1:10" s="204" customFormat="1" ht="57.5" customHeight="1" x14ac:dyDescent="0.2">
      <c r="A92" s="368" t="s">
        <v>2228</v>
      </c>
      <c r="B92" s="368"/>
      <c r="C92" s="368"/>
      <c r="D92" s="368"/>
      <c r="E92" s="368"/>
      <c r="F92" s="368"/>
      <c r="G92" s="368"/>
      <c r="H92" s="368"/>
      <c r="I92" s="368"/>
      <c r="J92" s="368"/>
    </row>
    <row r="93" spans="1:10" s="204" customFormat="1" ht="91" customHeight="1" x14ac:dyDescent="0.2">
      <c r="A93" s="368" t="s">
        <v>2229</v>
      </c>
      <c r="B93" s="368"/>
      <c r="C93" s="368"/>
      <c r="D93" s="368"/>
      <c r="E93" s="368"/>
      <c r="F93" s="368"/>
      <c r="G93" s="368"/>
      <c r="H93" s="368"/>
      <c r="I93" s="368"/>
      <c r="J93" s="368"/>
    </row>
    <row r="94" spans="1:10" s="204" customFormat="1" ht="57.5" customHeight="1" x14ac:dyDescent="0.2">
      <c r="A94" s="368" t="s">
        <v>2230</v>
      </c>
      <c r="B94" s="368"/>
      <c r="C94" s="368"/>
      <c r="D94" s="368"/>
      <c r="E94" s="368"/>
      <c r="F94" s="368"/>
      <c r="G94" s="368"/>
      <c r="H94" s="368"/>
      <c r="I94" s="368"/>
      <c r="J94" s="368"/>
    </row>
    <row r="95" spans="1:10" s="204" customFormat="1" ht="57.5" customHeight="1" x14ac:dyDescent="0.2">
      <c r="A95" s="368" t="s">
        <v>2231</v>
      </c>
      <c r="B95" s="368"/>
      <c r="C95" s="368"/>
      <c r="D95" s="368"/>
      <c r="E95" s="368"/>
      <c r="F95" s="368"/>
      <c r="G95" s="368"/>
      <c r="H95" s="368"/>
      <c r="I95" s="368"/>
      <c r="J95" s="368"/>
    </row>
    <row r="96" spans="1:10" s="204" customFormat="1" ht="57.5" customHeight="1" x14ac:dyDescent="0.2">
      <c r="A96" s="368" t="s">
        <v>2232</v>
      </c>
      <c r="B96" s="368"/>
      <c r="C96" s="368"/>
      <c r="D96" s="368"/>
      <c r="E96" s="368"/>
      <c r="F96" s="368"/>
      <c r="G96" s="368"/>
      <c r="H96" s="368"/>
      <c r="I96" s="368"/>
      <c r="J96" s="368"/>
    </row>
    <row r="97" spans="1:10" s="204" customFormat="1" ht="57.5" customHeight="1" x14ac:dyDescent="0.2">
      <c r="A97" s="368" t="s">
        <v>2233</v>
      </c>
      <c r="B97" s="368"/>
      <c r="C97" s="368"/>
      <c r="D97" s="368"/>
      <c r="E97" s="368"/>
      <c r="F97" s="368"/>
      <c r="G97" s="368"/>
      <c r="H97" s="368"/>
      <c r="I97" s="368"/>
      <c r="J97" s="368"/>
    </row>
    <row r="98" spans="1:10" s="204" customFormat="1" ht="57.5" customHeight="1" x14ac:dyDescent="0.2">
      <c r="A98" s="371" t="s">
        <v>2234</v>
      </c>
      <c r="B98" s="371"/>
      <c r="C98" s="371"/>
      <c r="D98" s="371"/>
      <c r="E98" s="371"/>
      <c r="F98" s="371"/>
      <c r="G98" s="371"/>
      <c r="H98" s="371"/>
      <c r="I98" s="371"/>
      <c r="J98" s="371"/>
    </row>
    <row r="99" spans="1:10" s="204" customFormat="1" ht="57.5" customHeight="1" x14ac:dyDescent="0.2">
      <c r="A99" s="371" t="s">
        <v>2235</v>
      </c>
      <c r="B99" s="371"/>
      <c r="C99" s="371"/>
      <c r="D99" s="371"/>
      <c r="E99" s="371"/>
      <c r="F99" s="371"/>
      <c r="G99" s="371"/>
      <c r="H99" s="371"/>
      <c r="I99" s="371"/>
      <c r="J99" s="371"/>
    </row>
    <row r="100" spans="1:10" s="204" customFormat="1" ht="57.5" customHeight="1" x14ac:dyDescent="0.2">
      <c r="A100" s="371" t="s">
        <v>2236</v>
      </c>
      <c r="B100" s="371"/>
      <c r="C100" s="371"/>
      <c r="D100" s="371"/>
      <c r="E100" s="371"/>
      <c r="F100" s="371"/>
      <c r="G100" s="371"/>
      <c r="H100" s="371"/>
      <c r="I100" s="371"/>
      <c r="J100" s="371"/>
    </row>
    <row r="101" spans="1:10" s="204" customFormat="1" ht="57.5" customHeight="1" x14ac:dyDescent="0.2">
      <c r="A101" s="368" t="s">
        <v>2237</v>
      </c>
      <c r="B101" s="368"/>
      <c r="C101" s="368"/>
      <c r="D101" s="368"/>
      <c r="E101" s="368"/>
      <c r="F101" s="368"/>
      <c r="G101" s="368"/>
      <c r="H101" s="368"/>
      <c r="I101" s="368"/>
      <c r="J101" s="368"/>
    </row>
    <row r="102" spans="1:10" s="204" customFormat="1" ht="57.5" customHeight="1" x14ac:dyDescent="0.2">
      <c r="A102" s="368" t="s">
        <v>2238</v>
      </c>
      <c r="B102" s="368"/>
      <c r="C102" s="368"/>
      <c r="D102" s="368"/>
      <c r="E102" s="368"/>
      <c r="F102" s="368"/>
      <c r="G102" s="368"/>
      <c r="H102" s="368"/>
      <c r="I102" s="368"/>
      <c r="J102" s="368"/>
    </row>
    <row r="103" spans="1:10" s="204" customFormat="1" ht="57.5" customHeight="1" x14ac:dyDescent="0.2">
      <c r="A103" s="365" t="s">
        <v>2239</v>
      </c>
      <c r="B103" s="365"/>
      <c r="C103" s="365"/>
      <c r="D103" s="365"/>
      <c r="E103" s="365"/>
      <c r="F103" s="365"/>
      <c r="G103" s="365"/>
      <c r="H103" s="365"/>
      <c r="I103" s="365"/>
      <c r="J103" s="365"/>
    </row>
    <row r="104" spans="1:10" s="204" customFormat="1" ht="57.5" customHeight="1" x14ac:dyDescent="0.2">
      <c r="A104" s="365" t="s">
        <v>2240</v>
      </c>
      <c r="B104" s="365"/>
      <c r="C104" s="365"/>
      <c r="D104" s="365"/>
      <c r="E104" s="365"/>
      <c r="F104" s="365"/>
      <c r="G104" s="365"/>
      <c r="H104" s="365"/>
      <c r="I104" s="365"/>
      <c r="J104" s="365"/>
    </row>
    <row r="105" spans="1:10" s="204" customFormat="1" ht="57.5" customHeight="1" x14ac:dyDescent="0.2">
      <c r="A105" s="368" t="s">
        <v>2241</v>
      </c>
      <c r="B105" s="368"/>
      <c r="C105" s="368"/>
      <c r="D105" s="368"/>
      <c r="E105" s="368"/>
      <c r="F105" s="368"/>
      <c r="G105" s="368"/>
      <c r="H105" s="368"/>
      <c r="I105" s="368"/>
      <c r="J105" s="368"/>
    </row>
    <row r="106" spans="1:10" s="204" customFormat="1" ht="57.5" customHeight="1" x14ac:dyDescent="0.2">
      <c r="A106" s="368" t="s">
        <v>2242</v>
      </c>
      <c r="B106" s="368"/>
      <c r="C106" s="368"/>
      <c r="D106" s="368"/>
      <c r="E106" s="368"/>
      <c r="F106" s="368"/>
      <c r="G106" s="368"/>
      <c r="H106" s="368"/>
      <c r="I106" s="368"/>
      <c r="J106" s="368"/>
    </row>
    <row r="107" spans="1:10" s="204" customFormat="1" ht="57.5" customHeight="1" x14ac:dyDescent="0.2">
      <c r="A107" s="368" t="s">
        <v>2243</v>
      </c>
      <c r="B107" s="368"/>
      <c r="C107" s="368"/>
      <c r="D107" s="368"/>
      <c r="E107" s="368"/>
      <c r="F107" s="368"/>
      <c r="G107" s="368"/>
      <c r="H107" s="368"/>
      <c r="I107" s="368"/>
      <c r="J107" s="368"/>
    </row>
    <row r="108" spans="1:10" s="204" customFormat="1" ht="57.5" customHeight="1" x14ac:dyDescent="0.2">
      <c r="A108" s="368" t="s">
        <v>2244</v>
      </c>
      <c r="B108" s="368"/>
      <c r="C108" s="368"/>
      <c r="D108" s="368"/>
      <c r="E108" s="368"/>
      <c r="F108" s="368"/>
      <c r="G108" s="368"/>
      <c r="H108" s="368"/>
      <c r="I108" s="368"/>
      <c r="J108" s="368"/>
    </row>
    <row r="109" spans="1:10" s="204" customFormat="1" ht="90" customHeight="1" x14ac:dyDescent="0.2">
      <c r="A109" s="368" t="s">
        <v>2245</v>
      </c>
      <c r="B109" s="368"/>
      <c r="C109" s="368"/>
      <c r="D109" s="368"/>
      <c r="E109" s="368"/>
      <c r="F109" s="368"/>
      <c r="G109" s="368"/>
      <c r="H109" s="368"/>
      <c r="I109" s="368"/>
      <c r="J109" s="368"/>
    </row>
    <row r="110" spans="1:10" s="204" customFormat="1" ht="57.5" customHeight="1" x14ac:dyDescent="0.2">
      <c r="A110" s="368" t="s">
        <v>2246</v>
      </c>
      <c r="B110" s="368"/>
      <c r="C110" s="368"/>
      <c r="D110" s="368"/>
      <c r="E110" s="368"/>
      <c r="F110" s="368"/>
      <c r="G110" s="368"/>
      <c r="H110" s="368"/>
      <c r="I110" s="368"/>
      <c r="J110" s="368"/>
    </row>
    <row r="111" spans="1:10" s="204" customFormat="1" ht="57.5" customHeight="1" x14ac:dyDescent="0.2">
      <c r="A111" s="368" t="s">
        <v>2247</v>
      </c>
      <c r="B111" s="368"/>
      <c r="C111" s="368"/>
      <c r="D111" s="368"/>
      <c r="E111" s="368"/>
      <c r="F111" s="368"/>
      <c r="G111" s="368"/>
      <c r="H111" s="368"/>
      <c r="I111" s="368"/>
      <c r="J111" s="368"/>
    </row>
    <row r="112" spans="1:10" s="204" customFormat="1" ht="57.5" customHeight="1" x14ac:dyDescent="0.2">
      <c r="A112" s="368" t="s">
        <v>2248</v>
      </c>
      <c r="B112" s="368"/>
      <c r="C112" s="368"/>
      <c r="D112" s="368"/>
      <c r="E112" s="368"/>
      <c r="F112" s="368"/>
      <c r="G112" s="368"/>
      <c r="H112" s="368"/>
      <c r="I112" s="368"/>
      <c r="J112" s="368"/>
    </row>
    <row r="113" spans="1:10" s="204" customFormat="1" ht="57.5" customHeight="1" x14ac:dyDescent="0.2">
      <c r="A113" s="368" t="s">
        <v>2249</v>
      </c>
      <c r="B113" s="368"/>
      <c r="C113" s="368"/>
      <c r="D113" s="368"/>
      <c r="E113" s="368"/>
      <c r="F113" s="368"/>
      <c r="G113" s="368"/>
      <c r="H113" s="368"/>
      <c r="I113" s="368"/>
      <c r="J113" s="368"/>
    </row>
    <row r="114" spans="1:10" s="204" customFormat="1" ht="57.5" customHeight="1" x14ac:dyDescent="0.2">
      <c r="A114" s="368" t="s">
        <v>2250</v>
      </c>
      <c r="B114" s="368"/>
      <c r="C114" s="368"/>
      <c r="D114" s="368"/>
      <c r="E114" s="368"/>
      <c r="F114" s="368"/>
      <c r="G114" s="368"/>
      <c r="H114" s="368"/>
      <c r="I114" s="368"/>
      <c r="J114" s="368"/>
    </row>
    <row r="115" spans="1:10" s="204" customFormat="1" ht="57.5" customHeight="1" x14ac:dyDescent="0.2">
      <c r="A115" s="368" t="s">
        <v>2251</v>
      </c>
      <c r="B115" s="368"/>
      <c r="C115" s="368"/>
      <c r="D115" s="368"/>
      <c r="E115" s="368"/>
      <c r="F115" s="368"/>
      <c r="G115" s="368"/>
      <c r="H115" s="368"/>
      <c r="I115" s="368"/>
      <c r="J115" s="368"/>
    </row>
    <row r="116" spans="1:10" s="204" customFormat="1" ht="57.5" customHeight="1" x14ac:dyDescent="0.2">
      <c r="A116" s="368" t="s">
        <v>2252</v>
      </c>
      <c r="B116" s="368"/>
      <c r="C116" s="368"/>
      <c r="D116" s="368"/>
      <c r="E116" s="368"/>
      <c r="F116" s="368"/>
      <c r="G116" s="368"/>
      <c r="H116" s="368"/>
      <c r="I116" s="368"/>
      <c r="J116" s="368"/>
    </row>
    <row r="117" spans="1:10" s="204" customFormat="1" ht="57.5" customHeight="1" x14ac:dyDescent="0.2">
      <c r="A117" s="368" t="s">
        <v>2253</v>
      </c>
      <c r="B117" s="368"/>
      <c r="C117" s="368"/>
      <c r="D117" s="368"/>
      <c r="E117" s="368"/>
      <c r="F117" s="368"/>
      <c r="G117" s="368"/>
      <c r="H117" s="368"/>
      <c r="I117" s="368"/>
      <c r="J117" s="368"/>
    </row>
    <row r="118" spans="1:10" s="204" customFormat="1" ht="57.5" customHeight="1" x14ac:dyDescent="0.2">
      <c r="A118" s="368" t="s">
        <v>2254</v>
      </c>
      <c r="B118" s="368"/>
      <c r="C118" s="368"/>
      <c r="D118" s="368"/>
      <c r="E118" s="368"/>
      <c r="F118" s="368"/>
      <c r="G118" s="368"/>
      <c r="H118" s="368"/>
      <c r="I118" s="368"/>
      <c r="J118" s="368"/>
    </row>
    <row r="119" spans="1:10" s="204" customFormat="1" ht="77" customHeight="1" x14ac:dyDescent="0.2">
      <c r="A119" s="368" t="s">
        <v>2255</v>
      </c>
      <c r="B119" s="368"/>
      <c r="C119" s="368"/>
      <c r="D119" s="368"/>
      <c r="E119" s="368"/>
      <c r="F119" s="368"/>
      <c r="G119" s="368"/>
      <c r="H119" s="368"/>
      <c r="I119" s="368"/>
      <c r="J119" s="368"/>
    </row>
    <row r="120" spans="1:10" s="204" customFormat="1" ht="57.5" customHeight="1" x14ac:dyDescent="0.2">
      <c r="A120" s="368" t="s">
        <v>2256</v>
      </c>
      <c r="B120" s="368"/>
      <c r="C120" s="368"/>
      <c r="D120" s="368"/>
      <c r="E120" s="368"/>
      <c r="F120" s="368"/>
      <c r="G120" s="368"/>
      <c r="H120" s="368"/>
      <c r="I120" s="368"/>
      <c r="J120" s="368"/>
    </row>
    <row r="121" spans="1:10" s="204" customFormat="1" ht="57.5" customHeight="1" x14ac:dyDescent="0.2">
      <c r="A121" s="368" t="s">
        <v>2257</v>
      </c>
      <c r="B121" s="368"/>
      <c r="C121" s="368"/>
      <c r="D121" s="368"/>
      <c r="E121" s="368"/>
      <c r="F121" s="368"/>
      <c r="G121" s="368"/>
      <c r="H121" s="368"/>
      <c r="I121" s="368"/>
      <c r="J121" s="368"/>
    </row>
    <row r="122" spans="1:10" s="204" customFormat="1" ht="57.5" customHeight="1" x14ac:dyDescent="0.2">
      <c r="A122" s="368" t="s">
        <v>2258</v>
      </c>
      <c r="B122" s="368"/>
      <c r="C122" s="368"/>
      <c r="D122" s="368"/>
      <c r="E122" s="368"/>
      <c r="F122" s="368"/>
      <c r="G122" s="368"/>
      <c r="H122" s="368"/>
      <c r="I122" s="368"/>
      <c r="J122" s="368"/>
    </row>
    <row r="123" spans="1:10" s="204" customFormat="1" ht="57.5" customHeight="1" x14ac:dyDescent="0.2">
      <c r="A123" s="368" t="s">
        <v>2259</v>
      </c>
      <c r="B123" s="368"/>
      <c r="C123" s="368"/>
      <c r="D123" s="368"/>
      <c r="E123" s="368"/>
      <c r="F123" s="368"/>
      <c r="G123" s="368"/>
      <c r="H123" s="368"/>
      <c r="I123" s="368"/>
      <c r="J123" s="368"/>
    </row>
    <row r="124" spans="1:10" s="204" customFormat="1" ht="57.5" customHeight="1" x14ac:dyDescent="0.2">
      <c r="A124" s="368" t="s">
        <v>2260</v>
      </c>
      <c r="B124" s="368"/>
      <c r="C124" s="368"/>
      <c r="D124" s="368"/>
      <c r="E124" s="368"/>
      <c r="F124" s="368"/>
      <c r="G124" s="368"/>
      <c r="H124" s="368"/>
      <c r="I124" s="368"/>
      <c r="J124" s="368"/>
    </row>
    <row r="125" spans="1:10" s="204" customFormat="1" ht="57.5" customHeight="1" x14ac:dyDescent="0.2">
      <c r="A125" s="368" t="s">
        <v>2261</v>
      </c>
      <c r="B125" s="368"/>
      <c r="C125" s="368"/>
      <c r="D125" s="368"/>
      <c r="E125" s="368"/>
      <c r="F125" s="368"/>
      <c r="G125" s="368"/>
      <c r="H125" s="368"/>
      <c r="I125" s="368"/>
      <c r="J125" s="368"/>
    </row>
    <row r="126" spans="1:10" s="204" customFormat="1" ht="57.5" customHeight="1" x14ac:dyDescent="0.2">
      <c r="A126" s="368" t="s">
        <v>2262</v>
      </c>
      <c r="B126" s="368"/>
      <c r="C126" s="368"/>
      <c r="D126" s="368"/>
      <c r="E126" s="368"/>
      <c r="F126" s="368"/>
      <c r="G126" s="368"/>
      <c r="H126" s="368"/>
      <c r="I126" s="368"/>
      <c r="J126" s="368"/>
    </row>
    <row r="127" spans="1:10" s="204" customFormat="1" ht="57.5" customHeight="1" x14ac:dyDescent="0.2">
      <c r="A127" s="368" t="s">
        <v>2263</v>
      </c>
      <c r="B127" s="368"/>
      <c r="C127" s="368"/>
      <c r="D127" s="368"/>
      <c r="E127" s="368"/>
      <c r="F127" s="368"/>
      <c r="G127" s="368"/>
      <c r="H127" s="368"/>
      <c r="I127" s="368"/>
      <c r="J127" s="368"/>
    </row>
    <row r="128" spans="1:10" s="204" customFormat="1" ht="57.5" customHeight="1" x14ac:dyDescent="0.2">
      <c r="A128" s="368" t="s">
        <v>2264</v>
      </c>
      <c r="B128" s="368"/>
      <c r="C128" s="368"/>
      <c r="D128" s="368"/>
      <c r="E128" s="368"/>
      <c r="F128" s="368"/>
      <c r="G128" s="368"/>
      <c r="H128" s="368"/>
      <c r="I128" s="368"/>
      <c r="J128" s="368"/>
    </row>
    <row r="129" spans="1:10" s="204" customFormat="1" ht="57.5" customHeight="1" x14ac:dyDescent="0.2">
      <c r="A129" s="368" t="s">
        <v>2265</v>
      </c>
      <c r="B129" s="368"/>
      <c r="C129" s="368"/>
      <c r="D129" s="368"/>
      <c r="E129" s="368"/>
      <c r="F129" s="368"/>
      <c r="G129" s="368"/>
      <c r="H129" s="368"/>
      <c r="I129" s="368"/>
      <c r="J129" s="368"/>
    </row>
    <row r="130" spans="1:10" s="204" customFormat="1" ht="57.5" customHeight="1" x14ac:dyDescent="0.2">
      <c r="A130" s="368" t="s">
        <v>2266</v>
      </c>
      <c r="B130" s="368"/>
      <c r="C130" s="368"/>
      <c r="D130" s="368"/>
      <c r="E130" s="368"/>
      <c r="F130" s="368"/>
      <c r="G130" s="368"/>
      <c r="H130" s="368"/>
      <c r="I130" s="368"/>
      <c r="J130" s="368"/>
    </row>
    <row r="131" spans="1:10" s="204" customFormat="1" ht="57.5" customHeight="1" x14ac:dyDescent="0.2">
      <c r="A131" s="368" t="s">
        <v>2267</v>
      </c>
      <c r="B131" s="368"/>
      <c r="C131" s="368"/>
      <c r="D131" s="368"/>
      <c r="E131" s="368"/>
      <c r="F131" s="368"/>
      <c r="G131" s="368"/>
      <c r="H131" s="368"/>
      <c r="I131" s="368"/>
      <c r="J131" s="368"/>
    </row>
    <row r="132" spans="1:10" s="204" customFormat="1" ht="57.5" customHeight="1" x14ac:dyDescent="0.2">
      <c r="A132" s="368" t="s">
        <v>2268</v>
      </c>
      <c r="B132" s="368"/>
      <c r="C132" s="368"/>
      <c r="D132" s="368"/>
      <c r="E132" s="368"/>
      <c r="F132" s="368"/>
      <c r="G132" s="368"/>
      <c r="H132" s="368"/>
      <c r="I132" s="368"/>
      <c r="J132" s="368"/>
    </row>
    <row r="133" spans="1:10" s="204" customFormat="1" ht="57.5" customHeight="1" x14ac:dyDescent="0.2">
      <c r="A133" s="368" t="s">
        <v>2269</v>
      </c>
      <c r="B133" s="368"/>
      <c r="C133" s="368"/>
      <c r="D133" s="368"/>
      <c r="E133" s="368"/>
      <c r="F133" s="368"/>
      <c r="G133" s="368"/>
      <c r="H133" s="368"/>
      <c r="I133" s="368"/>
      <c r="J133" s="368"/>
    </row>
    <row r="134" spans="1:10" s="204" customFormat="1" ht="57.5" customHeight="1" x14ac:dyDescent="0.2">
      <c r="A134" s="368" t="s">
        <v>2270</v>
      </c>
      <c r="B134" s="368"/>
      <c r="C134" s="368"/>
      <c r="D134" s="368"/>
      <c r="E134" s="368"/>
      <c r="F134" s="368"/>
      <c r="G134" s="368"/>
      <c r="H134" s="368"/>
      <c r="I134" s="368"/>
      <c r="J134" s="368"/>
    </row>
    <row r="135" spans="1:10" s="204" customFormat="1" ht="57.5" customHeight="1" x14ac:dyDescent="0.2">
      <c r="A135" s="365" t="s">
        <v>2271</v>
      </c>
      <c r="B135" s="365"/>
      <c r="C135" s="365"/>
      <c r="D135" s="365"/>
      <c r="E135" s="365"/>
      <c r="F135" s="365"/>
      <c r="G135" s="365"/>
      <c r="H135" s="365"/>
      <c r="I135" s="365"/>
      <c r="J135" s="365"/>
    </row>
    <row r="136" spans="1:10" s="204" customFormat="1" ht="57.5" customHeight="1" x14ac:dyDescent="0.2">
      <c r="A136" s="365" t="s">
        <v>2272</v>
      </c>
      <c r="B136" s="365"/>
      <c r="C136" s="365"/>
      <c r="D136" s="365"/>
      <c r="E136" s="365"/>
      <c r="F136" s="365"/>
      <c r="G136" s="365"/>
      <c r="H136" s="365"/>
      <c r="I136" s="365"/>
      <c r="J136" s="365"/>
    </row>
    <row r="137" spans="1:10" s="204" customFormat="1" ht="57.5" customHeight="1" x14ac:dyDescent="0.2">
      <c r="A137" s="365" t="s">
        <v>2273</v>
      </c>
      <c r="B137" s="365"/>
      <c r="C137" s="365"/>
      <c r="D137" s="365"/>
      <c r="E137" s="365"/>
      <c r="F137" s="365"/>
      <c r="G137" s="365"/>
      <c r="H137" s="365"/>
      <c r="I137" s="365"/>
      <c r="J137" s="365"/>
    </row>
    <row r="138" spans="1:10" s="204" customFormat="1" ht="57.5" customHeight="1" x14ac:dyDescent="0.2">
      <c r="A138" s="365" t="s">
        <v>2274</v>
      </c>
      <c r="B138" s="365"/>
      <c r="C138" s="365"/>
      <c r="D138" s="365"/>
      <c r="E138" s="365"/>
      <c r="F138" s="365"/>
      <c r="G138" s="365"/>
      <c r="H138" s="365"/>
      <c r="I138" s="365"/>
      <c r="J138" s="365"/>
    </row>
    <row r="139" spans="1:10" s="204" customFormat="1" ht="36" customHeight="1" x14ac:dyDescent="0.2">
      <c r="A139" s="201"/>
      <c r="B139" s="201"/>
      <c r="C139" s="201"/>
      <c r="D139" s="201"/>
      <c r="E139" s="201"/>
      <c r="F139" s="201"/>
      <c r="G139" s="201"/>
      <c r="H139" s="201"/>
      <c r="I139" s="201"/>
      <c r="J139" s="201"/>
    </row>
    <row r="140" spans="1:10" s="204" customFormat="1" ht="36" customHeight="1" x14ac:dyDescent="0.2">
      <c r="A140" s="202"/>
      <c r="B140" s="202"/>
      <c r="C140" s="202"/>
      <c r="D140" s="202"/>
      <c r="E140" s="202"/>
      <c r="F140" s="202"/>
      <c r="G140" s="202"/>
      <c r="H140" s="202"/>
      <c r="I140" s="202"/>
      <c r="J140" s="202"/>
    </row>
    <row r="141" spans="1:10" s="204" customFormat="1" ht="36" customHeight="1" x14ac:dyDescent="0.2"/>
    <row r="142" spans="1:10" s="205" customFormat="1" ht="36" customHeight="1" x14ac:dyDescent="0.2">
      <c r="A142" s="363" t="s">
        <v>2275</v>
      </c>
      <c r="B142" s="363"/>
      <c r="C142" s="363"/>
      <c r="D142" s="363"/>
      <c r="E142" s="363"/>
      <c r="F142" s="363"/>
      <c r="G142" s="363"/>
      <c r="H142" s="363"/>
      <c r="I142" s="363"/>
      <c r="J142" s="363"/>
    </row>
    <row r="143" spans="1:10" s="204" customFormat="1" ht="36" customHeight="1" x14ac:dyDescent="0.2">
      <c r="A143" s="366"/>
      <c r="B143" s="366"/>
      <c r="C143" s="366"/>
      <c r="D143" s="366"/>
      <c r="E143" s="366"/>
      <c r="F143" s="366"/>
      <c r="G143" s="366"/>
      <c r="H143" s="366"/>
      <c r="I143" s="366"/>
      <c r="J143" s="366"/>
    </row>
    <row r="144" spans="1:10" s="204" customFormat="1" ht="67" customHeight="1" x14ac:dyDescent="0.2">
      <c r="A144" s="368" t="s">
        <v>2276</v>
      </c>
      <c r="B144" s="368"/>
      <c r="C144" s="368"/>
      <c r="D144" s="368"/>
      <c r="E144" s="368"/>
      <c r="F144" s="368"/>
      <c r="G144" s="368"/>
      <c r="H144" s="368"/>
      <c r="I144" s="368"/>
      <c r="J144" s="368"/>
    </row>
    <row r="145" spans="1:10" s="204" customFormat="1" ht="47" customHeight="1" x14ac:dyDescent="0.2">
      <c r="A145" s="368" t="s">
        <v>2277</v>
      </c>
      <c r="B145" s="368"/>
      <c r="C145" s="368"/>
      <c r="D145" s="368"/>
      <c r="E145" s="368"/>
      <c r="F145" s="368"/>
      <c r="G145" s="368"/>
      <c r="H145" s="368"/>
      <c r="I145" s="368"/>
      <c r="J145" s="368"/>
    </row>
    <row r="146" spans="1:10" s="204" customFormat="1" ht="60" customHeight="1" x14ac:dyDescent="0.2">
      <c r="A146" s="368" t="s">
        <v>2278</v>
      </c>
      <c r="B146" s="368"/>
      <c r="C146" s="368"/>
      <c r="D146" s="368"/>
      <c r="E146" s="368"/>
      <c r="F146" s="368"/>
      <c r="G146" s="368"/>
      <c r="H146" s="368"/>
      <c r="I146" s="368"/>
      <c r="J146" s="368"/>
    </row>
    <row r="147" spans="1:10" s="204" customFormat="1" ht="36" customHeight="1" x14ac:dyDescent="0.2">
      <c r="A147" s="368" t="s">
        <v>2279</v>
      </c>
      <c r="B147" s="368"/>
      <c r="C147" s="368"/>
      <c r="D147" s="368"/>
      <c r="E147" s="368"/>
      <c r="F147" s="368"/>
      <c r="G147" s="368"/>
      <c r="H147" s="368"/>
      <c r="I147" s="368"/>
      <c r="J147" s="368"/>
    </row>
    <row r="148" spans="1:10" s="204" customFormat="1" ht="36" customHeight="1" x14ac:dyDescent="0.2">
      <c r="A148" s="368" t="s">
        <v>2280</v>
      </c>
      <c r="B148" s="368"/>
      <c r="C148" s="368"/>
      <c r="D148" s="368"/>
      <c r="E148" s="368"/>
      <c r="F148" s="368"/>
      <c r="G148" s="368"/>
      <c r="H148" s="368"/>
      <c r="I148" s="368"/>
      <c r="J148" s="368"/>
    </row>
    <row r="149" spans="1:10" s="204" customFormat="1" ht="60" customHeight="1" x14ac:dyDescent="0.2">
      <c r="A149" s="368" t="s">
        <v>2281</v>
      </c>
      <c r="B149" s="368"/>
      <c r="C149" s="368"/>
      <c r="D149" s="368"/>
      <c r="E149" s="368"/>
      <c r="F149" s="368"/>
      <c r="G149" s="368"/>
      <c r="H149" s="368"/>
      <c r="I149" s="368"/>
      <c r="J149" s="368"/>
    </row>
    <row r="150" spans="1:10" s="204" customFormat="1" ht="36" customHeight="1" x14ac:dyDescent="0.2">
      <c r="A150" s="368" t="s">
        <v>2282</v>
      </c>
      <c r="B150" s="368"/>
      <c r="C150" s="368"/>
      <c r="D150" s="368"/>
      <c r="E150" s="368"/>
      <c r="F150" s="368"/>
      <c r="G150" s="368"/>
      <c r="H150" s="368"/>
      <c r="I150" s="368"/>
      <c r="J150" s="368"/>
    </row>
    <row r="151" spans="1:10" s="204" customFormat="1" ht="36" customHeight="1" x14ac:dyDescent="0.2">
      <c r="A151" s="368" t="s">
        <v>2283</v>
      </c>
      <c r="B151" s="368"/>
      <c r="C151" s="368"/>
      <c r="D151" s="368"/>
      <c r="E151" s="368"/>
      <c r="F151" s="368"/>
      <c r="G151" s="368"/>
      <c r="H151" s="368"/>
      <c r="I151" s="368"/>
      <c r="J151" s="368"/>
    </row>
    <row r="152" spans="1:10" s="204" customFormat="1" ht="62" customHeight="1" x14ac:dyDescent="0.2">
      <c r="A152" s="368" t="s">
        <v>2284</v>
      </c>
      <c r="B152" s="368"/>
      <c r="C152" s="368"/>
      <c r="D152" s="368"/>
      <c r="E152" s="368"/>
      <c r="F152" s="368"/>
      <c r="G152" s="368"/>
      <c r="H152" s="368"/>
      <c r="I152" s="368"/>
      <c r="J152" s="368"/>
    </row>
    <row r="153" spans="1:10" s="204" customFormat="1" ht="19" customHeight="1" x14ac:dyDescent="0.2">
      <c r="A153" s="371" t="s">
        <v>2285</v>
      </c>
      <c r="B153" s="371"/>
      <c r="C153" s="371"/>
      <c r="D153" s="371"/>
      <c r="E153" s="371"/>
      <c r="F153" s="371"/>
      <c r="G153" s="371"/>
      <c r="H153" s="371"/>
      <c r="I153" s="371"/>
      <c r="J153" s="371"/>
    </row>
    <row r="154" spans="1:10" s="204" customFormat="1" ht="16" x14ac:dyDescent="0.2">
      <c r="A154" s="367" t="s">
        <v>2286</v>
      </c>
      <c r="B154" s="367"/>
      <c r="C154" s="367"/>
      <c r="D154" s="367"/>
      <c r="E154" s="367"/>
      <c r="F154" s="367"/>
      <c r="G154" s="367"/>
      <c r="H154" s="367"/>
      <c r="I154" s="367"/>
      <c r="J154" s="367"/>
    </row>
    <row r="155" spans="1:10" s="204" customFormat="1" ht="16" x14ac:dyDescent="0.2">
      <c r="A155" s="367" t="s">
        <v>2287</v>
      </c>
      <c r="B155" s="367"/>
      <c r="C155" s="367"/>
      <c r="D155" s="367"/>
      <c r="E155" s="367"/>
      <c r="F155" s="367"/>
      <c r="G155" s="367"/>
      <c r="H155" s="367"/>
      <c r="I155" s="367"/>
      <c r="J155" s="367"/>
    </row>
    <row r="156" spans="1:10" s="204" customFormat="1" ht="16" x14ac:dyDescent="0.2">
      <c r="A156" s="367" t="s">
        <v>2288</v>
      </c>
      <c r="B156" s="367"/>
      <c r="C156" s="367"/>
      <c r="D156" s="367"/>
      <c r="E156" s="367"/>
      <c r="F156" s="367"/>
      <c r="G156" s="367"/>
      <c r="H156" s="367"/>
      <c r="I156" s="367"/>
      <c r="J156" s="367"/>
    </row>
    <row r="157" spans="1:10" s="204" customFormat="1" ht="16" x14ac:dyDescent="0.2">
      <c r="A157" s="367" t="s">
        <v>2289</v>
      </c>
      <c r="B157" s="367"/>
      <c r="C157" s="367"/>
      <c r="D157" s="367"/>
      <c r="E157" s="367"/>
      <c r="F157" s="367"/>
      <c r="G157" s="367"/>
      <c r="H157" s="367"/>
      <c r="I157" s="367"/>
      <c r="J157" s="367"/>
    </row>
    <row r="158" spans="1:10" s="204" customFormat="1" ht="16" x14ac:dyDescent="0.2">
      <c r="A158" s="367" t="s">
        <v>2290</v>
      </c>
      <c r="B158" s="367"/>
      <c r="C158" s="367"/>
      <c r="D158" s="367"/>
      <c r="E158" s="367"/>
      <c r="F158" s="367"/>
      <c r="G158" s="367"/>
      <c r="H158" s="367"/>
      <c r="I158" s="367"/>
      <c r="J158" s="367"/>
    </row>
    <row r="159" spans="1:10" s="204" customFormat="1" ht="16" x14ac:dyDescent="0.2">
      <c r="A159" s="367" t="s">
        <v>2291</v>
      </c>
      <c r="B159" s="367"/>
      <c r="C159" s="367"/>
      <c r="D159" s="367"/>
      <c r="E159" s="367"/>
      <c r="F159" s="367"/>
      <c r="G159" s="367"/>
      <c r="H159" s="367"/>
      <c r="I159" s="367"/>
      <c r="J159" s="367"/>
    </row>
    <row r="160" spans="1:10" s="204" customFormat="1" ht="16" x14ac:dyDescent="0.2">
      <c r="A160" s="367" t="s">
        <v>2292</v>
      </c>
      <c r="B160" s="367"/>
      <c r="C160" s="367"/>
      <c r="D160" s="367"/>
      <c r="E160" s="367"/>
      <c r="F160" s="367"/>
      <c r="G160" s="367"/>
      <c r="H160" s="367"/>
      <c r="I160" s="367"/>
      <c r="J160" s="367"/>
    </row>
    <row r="161" spans="1:10" s="204" customFormat="1" ht="16" x14ac:dyDescent="0.2">
      <c r="A161" s="367" t="s">
        <v>2293</v>
      </c>
      <c r="B161" s="367"/>
      <c r="C161" s="367"/>
      <c r="D161" s="367"/>
      <c r="E161" s="367"/>
      <c r="F161" s="367"/>
      <c r="G161" s="367"/>
      <c r="H161" s="367"/>
      <c r="I161" s="367"/>
      <c r="J161" s="367"/>
    </row>
    <row r="162" spans="1:10" s="204" customFormat="1" ht="16" x14ac:dyDescent="0.2">
      <c r="A162" s="367" t="s">
        <v>2294</v>
      </c>
      <c r="B162" s="367"/>
      <c r="C162" s="367"/>
      <c r="D162" s="367"/>
      <c r="E162" s="367"/>
      <c r="F162" s="367"/>
      <c r="G162" s="367"/>
      <c r="H162" s="367"/>
      <c r="I162" s="367"/>
      <c r="J162" s="367"/>
    </row>
    <row r="163" spans="1:10" s="204" customFormat="1" ht="36" customHeight="1" x14ac:dyDescent="0.2">
      <c r="A163" s="202"/>
    </row>
    <row r="164" spans="1:10" s="204" customFormat="1" ht="43" customHeight="1" x14ac:dyDescent="0.2">
      <c r="A164" s="368" t="s">
        <v>2295</v>
      </c>
      <c r="B164" s="368"/>
      <c r="C164" s="368"/>
      <c r="D164" s="368"/>
      <c r="E164" s="368"/>
      <c r="F164" s="368"/>
      <c r="G164" s="368"/>
      <c r="H164" s="368"/>
      <c r="I164" s="368"/>
      <c r="J164" s="368"/>
    </row>
    <row r="165" spans="1:10" s="204" customFormat="1" ht="41" customHeight="1" x14ac:dyDescent="0.2">
      <c r="A165" s="368" t="s">
        <v>2296</v>
      </c>
      <c r="B165" s="368"/>
      <c r="C165" s="368"/>
      <c r="D165" s="368"/>
      <c r="E165" s="368"/>
      <c r="F165" s="368"/>
      <c r="G165" s="368"/>
      <c r="H165" s="368"/>
      <c r="I165" s="368"/>
      <c r="J165" s="368"/>
    </row>
    <row r="166" spans="1:10" s="204" customFormat="1" ht="36" customHeight="1" x14ac:dyDescent="0.2">
      <c r="A166" s="202"/>
    </row>
    <row r="167" spans="1:10" s="204" customFormat="1" ht="36" customHeight="1" x14ac:dyDescent="0.2"/>
    <row r="168" spans="1:10" s="204" customFormat="1" ht="36" customHeight="1" x14ac:dyDescent="0.2"/>
  </sheetData>
  <sheetProtection algorithmName="SHA-512" hashValue="bPuOqMvwUYTUt9+a0e6pqm+TG/9a0+dI4vtverblVXrNbktdtutlPy6P7J8DR6MLnpmy4nhmv1U7ejnzWFkHyw==" saltValue="RKWvSjo92FL5EIcCLtaGrQ==" spinCount="100000" sheet="1" objects="1" scenarios="1"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orientation="landscape" horizontalDpi="0" verticalDpi="0"/>
  <headerFooter>
    <oddHeader xml:space="preserve">&amp;L  &amp;C&amp;"System Font,Regular"&amp;10&amp;K000000  &amp;R  </oddHeader>
    <oddFooter xml:space="preserve">&amp;C    </oddFooter>
  </headerFooter>
  <rowBreaks count="1" manualBreakCount="1">
    <brk id="1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election activeCell="N1" sqref="N1"/>
    </sheetView>
  </sheetViews>
  <sheetFormatPr baseColWidth="10" defaultColWidth="10.83203125" defaultRowHeight="16" x14ac:dyDescent="0.2"/>
  <cols>
    <col min="1" max="1" width="10.83203125" style="12"/>
    <col min="2" max="2" width="16.33203125" style="12" customWidth="1"/>
    <col min="3" max="3" width="20.5" style="12" customWidth="1"/>
    <col min="4" max="5" width="19.1640625" style="12" customWidth="1"/>
    <col min="6" max="6" width="17" style="12" customWidth="1"/>
    <col min="7" max="7" width="48.33203125" style="12" customWidth="1"/>
    <col min="8" max="8" width="27.6640625" style="12" customWidth="1"/>
    <col min="9" max="9" width="94" style="12" customWidth="1"/>
    <col min="10" max="10" width="13.6640625" style="12" customWidth="1"/>
    <col min="11" max="11" width="45" style="12" customWidth="1"/>
    <col min="12" max="12" width="10.83203125" style="12" customWidth="1"/>
    <col min="13" max="13" width="30.33203125" style="12" customWidth="1"/>
    <col min="14" max="14" width="65" style="12" bestFit="1" customWidth="1"/>
    <col min="15" max="16" width="10.83203125" style="12" customWidth="1"/>
    <col min="17" max="17" width="23.83203125" style="12" customWidth="1"/>
    <col min="18" max="18" width="13" style="12" customWidth="1"/>
    <col min="19" max="19" width="18.83203125" style="12" bestFit="1" customWidth="1"/>
    <col min="20" max="20" width="26.6640625" style="12" bestFit="1" customWidth="1"/>
    <col min="21" max="16384" width="10.83203125" style="12"/>
  </cols>
  <sheetData>
    <row r="1" spans="1:20" x14ac:dyDescent="0.2">
      <c r="A1" s="12" t="s">
        <v>946</v>
      </c>
      <c r="B1" s="12" t="s">
        <v>947</v>
      </c>
      <c r="C1" s="12" t="s">
        <v>948</v>
      </c>
      <c r="D1" s="12" t="s">
        <v>949</v>
      </c>
      <c r="E1" s="12" t="s">
        <v>2303</v>
      </c>
      <c r="F1" s="12" t="s">
        <v>950</v>
      </c>
      <c r="G1" s="12" t="s">
        <v>951</v>
      </c>
      <c r="H1" s="12" t="s">
        <v>952</v>
      </c>
      <c r="I1" s="12" t="s">
        <v>953</v>
      </c>
      <c r="J1" s="12" t="s">
        <v>954</v>
      </c>
      <c r="K1" s="12" t="s">
        <v>955</v>
      </c>
      <c r="L1" s="12" t="s">
        <v>956</v>
      </c>
      <c r="M1" s="12" t="s">
        <v>957</v>
      </c>
      <c r="N1" s="12" t="s">
        <v>2323</v>
      </c>
      <c r="O1" s="12" t="s">
        <v>2307</v>
      </c>
      <c r="P1" s="12" t="s">
        <v>958</v>
      </c>
      <c r="Q1" s="78" t="s">
        <v>2318</v>
      </c>
      <c r="R1" s="12" t="s">
        <v>959</v>
      </c>
      <c r="S1" s="12" t="s">
        <v>960</v>
      </c>
      <c r="T1" s="12" t="s">
        <v>961</v>
      </c>
    </row>
    <row r="2" spans="1:20" x14ac:dyDescent="0.2">
      <c r="A2" s="12" t="s">
        <v>962</v>
      </c>
      <c r="B2" s="12" t="s">
        <v>963</v>
      </c>
      <c r="C2" s="12" t="s">
        <v>964</v>
      </c>
      <c r="D2" s="12" t="s">
        <v>965</v>
      </c>
      <c r="E2" s="12" t="s">
        <v>2304</v>
      </c>
      <c r="F2" s="78" t="s">
        <v>966</v>
      </c>
      <c r="G2" s="12" t="s">
        <v>967</v>
      </c>
      <c r="H2" s="12" t="s">
        <v>968</v>
      </c>
      <c r="I2" s="12" t="s">
        <v>969</v>
      </c>
      <c r="J2" s="12" t="s">
        <v>970</v>
      </c>
      <c r="K2" s="12" t="s">
        <v>971</v>
      </c>
      <c r="L2" s="12" t="s">
        <v>972</v>
      </c>
      <c r="M2" s="12" t="s">
        <v>973</v>
      </c>
      <c r="N2" s="12" t="s">
        <v>2306</v>
      </c>
      <c r="O2" s="12" t="s">
        <v>2308</v>
      </c>
      <c r="P2" s="12" t="s">
        <v>974</v>
      </c>
      <c r="Q2" s="78" t="s">
        <v>2319</v>
      </c>
      <c r="R2" s="12" t="s">
        <v>975</v>
      </c>
      <c r="S2" s="12" t="s">
        <v>976</v>
      </c>
      <c r="T2" s="12" t="s">
        <v>977</v>
      </c>
    </row>
    <row r="3" spans="1:20" x14ac:dyDescent="0.2">
      <c r="B3" s="12" t="s">
        <v>978</v>
      </c>
      <c r="C3" s="12" t="s">
        <v>979</v>
      </c>
      <c r="D3" s="12" t="s">
        <v>980</v>
      </c>
      <c r="E3" s="12" t="s">
        <v>2305</v>
      </c>
      <c r="F3" s="78" t="s">
        <v>981</v>
      </c>
      <c r="G3" s="12" t="s">
        <v>982</v>
      </c>
      <c r="H3" s="12" t="s">
        <v>983</v>
      </c>
      <c r="I3" s="12" t="s">
        <v>984</v>
      </c>
      <c r="J3" s="12" t="s">
        <v>985</v>
      </c>
      <c r="K3" s="12" t="s">
        <v>986</v>
      </c>
      <c r="L3" s="12" t="s">
        <v>987</v>
      </c>
      <c r="M3" s="12" t="s">
        <v>629</v>
      </c>
      <c r="N3" s="12" t="s">
        <v>988</v>
      </c>
      <c r="O3" s="12" t="s">
        <v>962</v>
      </c>
      <c r="Q3" s="78" t="s">
        <v>989</v>
      </c>
      <c r="R3" s="12" t="s">
        <v>990</v>
      </c>
      <c r="T3" s="12" t="s">
        <v>991</v>
      </c>
    </row>
    <row r="4" spans="1:20" x14ac:dyDescent="0.2">
      <c r="B4" s="12" t="s">
        <v>992</v>
      </c>
      <c r="C4" s="12" t="s">
        <v>993</v>
      </c>
      <c r="F4" s="78" t="s">
        <v>994</v>
      </c>
      <c r="I4" s="12" t="s">
        <v>629</v>
      </c>
      <c r="J4" s="12" t="s">
        <v>995</v>
      </c>
      <c r="K4" s="12" t="s">
        <v>996</v>
      </c>
      <c r="Q4" s="78" t="s">
        <v>997</v>
      </c>
    </row>
    <row r="5" spans="1:20" x14ac:dyDescent="0.2">
      <c r="B5" s="12" t="s">
        <v>998</v>
      </c>
      <c r="C5" s="12" t="s">
        <v>999</v>
      </c>
      <c r="F5" s="78" t="s">
        <v>1000</v>
      </c>
      <c r="K5" s="12" t="s">
        <v>1001</v>
      </c>
      <c r="Q5" s="78" t="s">
        <v>1002</v>
      </c>
    </row>
    <row r="6" spans="1:20" x14ac:dyDescent="0.2">
      <c r="B6" s="12" t="s">
        <v>1003</v>
      </c>
      <c r="C6" s="12" t="s">
        <v>1004</v>
      </c>
      <c r="F6" s="78" t="s">
        <v>1005</v>
      </c>
    </row>
    <row r="7" spans="1:20" x14ac:dyDescent="0.2">
      <c r="B7" s="12" t="s">
        <v>1006</v>
      </c>
      <c r="C7" s="12" t="s">
        <v>1007</v>
      </c>
      <c r="F7" s="78" t="s">
        <v>629</v>
      </c>
    </row>
    <row r="8" spans="1:20" x14ac:dyDescent="0.2">
      <c r="B8" s="12" t="s">
        <v>1008</v>
      </c>
      <c r="C8" s="12" t="s">
        <v>1009</v>
      </c>
    </row>
    <row r="9" spans="1:20" x14ac:dyDescent="0.2">
      <c r="B9" s="12" t="s">
        <v>1010</v>
      </c>
      <c r="C9" s="12" t="s">
        <v>1011</v>
      </c>
    </row>
    <row r="10" spans="1:20" x14ac:dyDescent="0.2">
      <c r="B10" s="12" t="s">
        <v>1012</v>
      </c>
      <c r="C10" s="12" t="s">
        <v>1013</v>
      </c>
    </row>
    <row r="11" spans="1:20" x14ac:dyDescent="0.2">
      <c r="B11" s="12" t="s">
        <v>1014</v>
      </c>
      <c r="C11" s="12" t="s">
        <v>1015</v>
      </c>
    </row>
    <row r="12" spans="1:20" x14ac:dyDescent="0.2">
      <c r="B12" s="12" t="s">
        <v>1016</v>
      </c>
      <c r="C12" s="12" t="s">
        <v>1017</v>
      </c>
    </row>
    <row r="13" spans="1:20" x14ac:dyDescent="0.2">
      <c r="B13" s="12" t="s">
        <v>1018</v>
      </c>
      <c r="C13" s="12" t="s">
        <v>1019</v>
      </c>
    </row>
    <row r="14" spans="1:20" x14ac:dyDescent="0.2">
      <c r="B14" s="12" t="s">
        <v>1020</v>
      </c>
      <c r="C14" s="12" t="s">
        <v>1021</v>
      </c>
    </row>
    <row r="15" spans="1:20" x14ac:dyDescent="0.2">
      <c r="B15" s="12" t="s">
        <v>1022</v>
      </c>
      <c r="C15" s="12" t="s">
        <v>1023</v>
      </c>
    </row>
    <row r="16" spans="1:20" x14ac:dyDescent="0.2">
      <c r="B16" s="12" t="s">
        <v>1024</v>
      </c>
      <c r="C16" s="12" t="s">
        <v>1025</v>
      </c>
    </row>
    <row r="17" spans="2:3" x14ac:dyDescent="0.2">
      <c r="B17" s="12" t="s">
        <v>1026</v>
      </c>
      <c r="C17" s="12" t="s">
        <v>1027</v>
      </c>
    </row>
    <row r="18" spans="2:3" x14ac:dyDescent="0.2">
      <c r="B18" s="12" t="s">
        <v>1028</v>
      </c>
      <c r="C18" s="12" t="s">
        <v>1029</v>
      </c>
    </row>
    <row r="19" spans="2:3" x14ac:dyDescent="0.2">
      <c r="B19" s="12" t="s">
        <v>1030</v>
      </c>
      <c r="C19" s="12" t="s">
        <v>1031</v>
      </c>
    </row>
    <row r="20" spans="2:3" x14ac:dyDescent="0.2">
      <c r="B20" s="12" t="s">
        <v>1032</v>
      </c>
      <c r="C20" s="12" t="s">
        <v>1033</v>
      </c>
    </row>
    <row r="21" spans="2:3" x14ac:dyDescent="0.2">
      <c r="B21" s="12" t="s">
        <v>1034</v>
      </c>
      <c r="C21" s="12" t="s">
        <v>1035</v>
      </c>
    </row>
    <row r="22" spans="2:3" x14ac:dyDescent="0.2">
      <c r="B22" s="12" t="s">
        <v>1036</v>
      </c>
      <c r="C22" s="12" t="s">
        <v>1037</v>
      </c>
    </row>
    <row r="23" spans="2:3" x14ac:dyDescent="0.2">
      <c r="B23" s="12" t="s">
        <v>1038</v>
      </c>
      <c r="C23" s="12" t="s">
        <v>1039</v>
      </c>
    </row>
    <row r="24" spans="2:3" x14ac:dyDescent="0.2">
      <c r="B24" s="12" t="s">
        <v>1040</v>
      </c>
      <c r="C24" s="12" t="s">
        <v>1041</v>
      </c>
    </row>
    <row r="25" spans="2:3" x14ac:dyDescent="0.2">
      <c r="B25" s="12" t="s">
        <v>1042</v>
      </c>
      <c r="C25" s="12" t="s">
        <v>1043</v>
      </c>
    </row>
    <row r="26" spans="2:3" x14ac:dyDescent="0.2">
      <c r="B26" s="12" t="s">
        <v>1044</v>
      </c>
      <c r="C26" s="12" t="s">
        <v>1045</v>
      </c>
    </row>
    <row r="27" spans="2:3" x14ac:dyDescent="0.2">
      <c r="B27" s="12" t="s">
        <v>1046</v>
      </c>
      <c r="C27" s="12" t="s">
        <v>1047</v>
      </c>
    </row>
    <row r="28" spans="2:3" x14ac:dyDescent="0.2">
      <c r="B28" s="12" t="s">
        <v>1048</v>
      </c>
      <c r="C28" s="12" t="s">
        <v>1049</v>
      </c>
    </row>
    <row r="29" spans="2:3" x14ac:dyDescent="0.2">
      <c r="B29" s="12" t="s">
        <v>1050</v>
      </c>
      <c r="C29" s="12" t="s">
        <v>1051</v>
      </c>
    </row>
    <row r="30" spans="2:3" x14ac:dyDescent="0.2">
      <c r="B30" s="12" t="s">
        <v>1052</v>
      </c>
      <c r="C30" s="12" t="s">
        <v>1053</v>
      </c>
    </row>
    <row r="31" spans="2:3" x14ac:dyDescent="0.2">
      <c r="B31" s="12" t="s">
        <v>1054</v>
      </c>
      <c r="C31" s="12" t="s">
        <v>1055</v>
      </c>
    </row>
    <row r="32" spans="2:3" x14ac:dyDescent="0.2">
      <c r="B32" s="12" t="s">
        <v>1056</v>
      </c>
      <c r="C32" s="12" t="s">
        <v>1057</v>
      </c>
    </row>
    <row r="33" spans="2:3" x14ac:dyDescent="0.2">
      <c r="B33" s="12" t="s">
        <v>1058</v>
      </c>
      <c r="C33" s="12" t="s">
        <v>1059</v>
      </c>
    </row>
    <row r="34" spans="2:3" x14ac:dyDescent="0.2">
      <c r="B34" s="12" t="s">
        <v>1060</v>
      </c>
      <c r="C34" s="12" t="s">
        <v>1061</v>
      </c>
    </row>
    <row r="35" spans="2:3" x14ac:dyDescent="0.2">
      <c r="B35" s="12" t="s">
        <v>1062</v>
      </c>
      <c r="C35" s="12" t="s">
        <v>1063</v>
      </c>
    </row>
    <row r="36" spans="2:3" x14ac:dyDescent="0.2">
      <c r="B36" s="12" t="s">
        <v>1064</v>
      </c>
      <c r="C36" s="12" t="s">
        <v>1065</v>
      </c>
    </row>
    <row r="37" spans="2:3" x14ac:dyDescent="0.2">
      <c r="B37" s="12" t="s">
        <v>1066</v>
      </c>
      <c r="C37" s="12" t="s">
        <v>1067</v>
      </c>
    </row>
    <row r="38" spans="2:3" x14ac:dyDescent="0.2">
      <c r="B38" s="12" t="s">
        <v>1068</v>
      </c>
      <c r="C38" s="12" t="s">
        <v>1069</v>
      </c>
    </row>
    <row r="39" spans="2:3" x14ac:dyDescent="0.2">
      <c r="B39" s="12" t="s">
        <v>1070</v>
      </c>
      <c r="C39" s="12" t="s">
        <v>1071</v>
      </c>
    </row>
    <row r="40" spans="2:3" x14ac:dyDescent="0.2">
      <c r="B40" s="12" t="s">
        <v>1072</v>
      </c>
      <c r="C40" s="12" t="s">
        <v>1073</v>
      </c>
    </row>
    <row r="41" spans="2:3" x14ac:dyDescent="0.2">
      <c r="B41" s="12" t="s">
        <v>1074</v>
      </c>
      <c r="C41" s="12" t="s">
        <v>1075</v>
      </c>
    </row>
    <row r="42" spans="2:3" x14ac:dyDescent="0.2">
      <c r="B42" s="12" t="s">
        <v>1076</v>
      </c>
      <c r="C42" s="12" t="s">
        <v>1077</v>
      </c>
    </row>
    <row r="43" spans="2:3" x14ac:dyDescent="0.2">
      <c r="B43" s="12" t="s">
        <v>1078</v>
      </c>
      <c r="C43" s="12" t="s">
        <v>1079</v>
      </c>
    </row>
    <row r="44" spans="2:3" x14ac:dyDescent="0.2">
      <c r="B44" s="12" t="s">
        <v>1080</v>
      </c>
      <c r="C44" s="12" t="s">
        <v>1081</v>
      </c>
    </row>
    <row r="45" spans="2:3" x14ac:dyDescent="0.2">
      <c r="B45" s="12" t="s">
        <v>1082</v>
      </c>
      <c r="C45" s="12" t="s">
        <v>1083</v>
      </c>
    </row>
    <row r="46" spans="2:3" x14ac:dyDescent="0.2">
      <c r="B46" s="12" t="s">
        <v>1084</v>
      </c>
      <c r="C46" s="12" t="s">
        <v>1085</v>
      </c>
    </row>
    <row r="47" spans="2:3" x14ac:dyDescent="0.2">
      <c r="B47" s="12" t="s">
        <v>1086</v>
      </c>
      <c r="C47" s="12" t="s">
        <v>1087</v>
      </c>
    </row>
    <row r="48" spans="2:3" x14ac:dyDescent="0.2">
      <c r="B48" s="12" t="s">
        <v>1088</v>
      </c>
      <c r="C48" s="12" t="s">
        <v>1089</v>
      </c>
    </row>
    <row r="49" spans="2:3" x14ac:dyDescent="0.2">
      <c r="B49" s="12" t="s">
        <v>1090</v>
      </c>
      <c r="C49" s="12" t="s">
        <v>1091</v>
      </c>
    </row>
    <row r="50" spans="2:3" x14ac:dyDescent="0.2">
      <c r="B50" s="12" t="s">
        <v>1092</v>
      </c>
      <c r="C50" s="12" t="s">
        <v>1093</v>
      </c>
    </row>
    <row r="51" spans="2:3" x14ac:dyDescent="0.2">
      <c r="B51" s="12" t="s">
        <v>1094</v>
      </c>
      <c r="C51" s="12" t="s">
        <v>1095</v>
      </c>
    </row>
    <row r="52" spans="2:3" x14ac:dyDescent="0.2">
      <c r="B52" s="12" t="s">
        <v>1096</v>
      </c>
      <c r="C52" s="12" t="s">
        <v>1097</v>
      </c>
    </row>
    <row r="53" spans="2:3" x14ac:dyDescent="0.2">
      <c r="B53" s="12" t="s">
        <v>1004</v>
      </c>
      <c r="C53" s="12" t="s">
        <v>1098</v>
      </c>
    </row>
    <row r="54" spans="2:3" x14ac:dyDescent="0.2">
      <c r="B54" s="12" t="s">
        <v>1099</v>
      </c>
      <c r="C54" s="12" t="s">
        <v>1100</v>
      </c>
    </row>
    <row r="55" spans="2:3" x14ac:dyDescent="0.2">
      <c r="B55" s="12" t="s">
        <v>1101</v>
      </c>
      <c r="C55" s="12" t="s">
        <v>1102</v>
      </c>
    </row>
    <row r="56" spans="2:3" x14ac:dyDescent="0.2">
      <c r="B56" s="12" t="s">
        <v>1103</v>
      </c>
      <c r="C56" s="12" t="s">
        <v>1104</v>
      </c>
    </row>
    <row r="57" spans="2:3" x14ac:dyDescent="0.2">
      <c r="B57" s="12" t="s">
        <v>1105</v>
      </c>
      <c r="C57" s="12" t="s">
        <v>1106</v>
      </c>
    </row>
    <row r="58" spans="2:3" x14ac:dyDescent="0.2">
      <c r="B58" s="12" t="s">
        <v>1107</v>
      </c>
      <c r="C58" s="12" t="s">
        <v>1108</v>
      </c>
    </row>
    <row r="59" spans="2:3" x14ac:dyDescent="0.2">
      <c r="B59" s="12" t="s">
        <v>1109</v>
      </c>
      <c r="C59" s="12" t="s">
        <v>1110</v>
      </c>
    </row>
    <row r="60" spans="2:3" x14ac:dyDescent="0.2">
      <c r="B60" s="12" t="s">
        <v>1111</v>
      </c>
      <c r="C60" s="12" t="s">
        <v>1112</v>
      </c>
    </row>
    <row r="61" spans="2:3" x14ac:dyDescent="0.2">
      <c r="B61" s="12" t="s">
        <v>1113</v>
      </c>
      <c r="C61" s="12" t="s">
        <v>1114</v>
      </c>
    </row>
    <row r="62" spans="2:3" x14ac:dyDescent="0.2">
      <c r="B62" s="12" t="s">
        <v>1115</v>
      </c>
      <c r="C62" s="12" t="s">
        <v>1116</v>
      </c>
    </row>
    <row r="63" spans="2:3" x14ac:dyDescent="0.2">
      <c r="B63" s="12" t="s">
        <v>1117</v>
      </c>
      <c r="C63" s="12" t="s">
        <v>1118</v>
      </c>
    </row>
    <row r="64" spans="2:3" x14ac:dyDescent="0.2">
      <c r="C64" s="12" t="s">
        <v>1119</v>
      </c>
    </row>
    <row r="65" spans="3:3" x14ac:dyDescent="0.2">
      <c r="C65" s="12" t="s">
        <v>1120</v>
      </c>
    </row>
    <row r="66" spans="3:3" x14ac:dyDescent="0.2">
      <c r="C66" s="12" t="s">
        <v>1121</v>
      </c>
    </row>
    <row r="67" spans="3:3" x14ac:dyDescent="0.2">
      <c r="C67" s="12" t="s">
        <v>1122</v>
      </c>
    </row>
    <row r="68" spans="3:3" x14ac:dyDescent="0.2">
      <c r="C68" s="12" t="s">
        <v>1123</v>
      </c>
    </row>
    <row r="69" spans="3:3" x14ac:dyDescent="0.2">
      <c r="C69" s="12" t="s">
        <v>1124</v>
      </c>
    </row>
    <row r="70" spans="3:3" x14ac:dyDescent="0.2">
      <c r="C70" s="12" t="s">
        <v>1125</v>
      </c>
    </row>
    <row r="71" spans="3:3" x14ac:dyDescent="0.2">
      <c r="C71" s="12" t="s">
        <v>1126</v>
      </c>
    </row>
    <row r="72" spans="3:3" x14ac:dyDescent="0.2">
      <c r="C72" s="12" t="s">
        <v>1127</v>
      </c>
    </row>
    <row r="73" spans="3:3" x14ac:dyDescent="0.2">
      <c r="C73" s="12" t="s">
        <v>1128</v>
      </c>
    </row>
    <row r="74" spans="3:3" x14ac:dyDescent="0.2">
      <c r="C74" s="12" t="s">
        <v>1129</v>
      </c>
    </row>
    <row r="75" spans="3:3" x14ac:dyDescent="0.2">
      <c r="C75" s="12" t="s">
        <v>1130</v>
      </c>
    </row>
    <row r="76" spans="3:3" x14ac:dyDescent="0.2">
      <c r="C76" s="12" t="s">
        <v>1131</v>
      </c>
    </row>
    <row r="77" spans="3:3" x14ac:dyDescent="0.2">
      <c r="C77" s="12" t="s">
        <v>1132</v>
      </c>
    </row>
    <row r="78" spans="3:3" x14ac:dyDescent="0.2">
      <c r="C78" s="12" t="s">
        <v>1133</v>
      </c>
    </row>
    <row r="79" spans="3:3" x14ac:dyDescent="0.2">
      <c r="C79" s="12" t="s">
        <v>1134</v>
      </c>
    </row>
    <row r="80" spans="3:3" x14ac:dyDescent="0.2">
      <c r="C80" s="12" t="s">
        <v>1135</v>
      </c>
    </row>
    <row r="81" spans="3:3" x14ac:dyDescent="0.2">
      <c r="C81" s="12" t="s">
        <v>1136</v>
      </c>
    </row>
    <row r="82" spans="3:3" x14ac:dyDescent="0.2">
      <c r="C82" s="12" t="s">
        <v>1137</v>
      </c>
    </row>
    <row r="83" spans="3:3" x14ac:dyDescent="0.2">
      <c r="C83" s="12" t="s">
        <v>1014</v>
      </c>
    </row>
    <row r="84" spans="3:3" x14ac:dyDescent="0.2">
      <c r="C84" s="12" t="s">
        <v>1138</v>
      </c>
    </row>
    <row r="85" spans="3:3" x14ac:dyDescent="0.2">
      <c r="C85" s="12" t="s">
        <v>1139</v>
      </c>
    </row>
    <row r="86" spans="3:3" x14ac:dyDescent="0.2">
      <c r="C86" s="12" t="s">
        <v>1140</v>
      </c>
    </row>
    <row r="87" spans="3:3" x14ac:dyDescent="0.2">
      <c r="C87" s="12" t="s">
        <v>1141</v>
      </c>
    </row>
    <row r="88" spans="3:3" x14ac:dyDescent="0.2">
      <c r="C88" s="12" t="s">
        <v>1142</v>
      </c>
    </row>
    <row r="89" spans="3:3" x14ac:dyDescent="0.2">
      <c r="C89" s="12" t="s">
        <v>1143</v>
      </c>
    </row>
    <row r="90" spans="3:3" x14ac:dyDescent="0.2">
      <c r="C90" s="12" t="s">
        <v>1144</v>
      </c>
    </row>
    <row r="91" spans="3:3" x14ac:dyDescent="0.2">
      <c r="C91" s="12" t="s">
        <v>1101</v>
      </c>
    </row>
    <row r="92" spans="3:3" x14ac:dyDescent="0.2">
      <c r="C92" s="12" t="s">
        <v>1145</v>
      </c>
    </row>
    <row r="93" spans="3:3" x14ac:dyDescent="0.2">
      <c r="C93" s="12" t="s">
        <v>1146</v>
      </c>
    </row>
    <row r="94" spans="3:3" x14ac:dyDescent="0.2">
      <c r="C94" s="12" t="s">
        <v>1147</v>
      </c>
    </row>
    <row r="95" spans="3:3" x14ac:dyDescent="0.2">
      <c r="C95" s="12" t="s">
        <v>1148</v>
      </c>
    </row>
    <row r="96" spans="3:3" x14ac:dyDescent="0.2">
      <c r="C96" s="12" t="s">
        <v>1149</v>
      </c>
    </row>
    <row r="97" spans="3:3" x14ac:dyDescent="0.2">
      <c r="C97" s="12" t="s">
        <v>1150</v>
      </c>
    </row>
    <row r="98" spans="3:3" x14ac:dyDescent="0.2">
      <c r="C98" s="12" t="s">
        <v>1151</v>
      </c>
    </row>
    <row r="99" spans="3:3" x14ac:dyDescent="0.2">
      <c r="C99" s="12" t="s">
        <v>1152</v>
      </c>
    </row>
    <row r="100" spans="3:3" x14ac:dyDescent="0.2">
      <c r="C100" s="12" t="s">
        <v>1153</v>
      </c>
    </row>
    <row r="101" spans="3:3" x14ac:dyDescent="0.2">
      <c r="C101" s="12" t="s">
        <v>1154</v>
      </c>
    </row>
    <row r="102" spans="3:3" x14ac:dyDescent="0.2">
      <c r="C102" s="12" t="s">
        <v>1155</v>
      </c>
    </row>
    <row r="103" spans="3:3" x14ac:dyDescent="0.2">
      <c r="C103" s="12" t="s">
        <v>1156</v>
      </c>
    </row>
    <row r="104" spans="3:3" x14ac:dyDescent="0.2">
      <c r="C104" s="12" t="s">
        <v>1157</v>
      </c>
    </row>
    <row r="105" spans="3:3" x14ac:dyDescent="0.2">
      <c r="C105" s="12" t="s">
        <v>1158</v>
      </c>
    </row>
    <row r="106" spans="3:3" x14ac:dyDescent="0.2">
      <c r="C106" s="12" t="s">
        <v>1159</v>
      </c>
    </row>
    <row r="107" spans="3:3" x14ac:dyDescent="0.2">
      <c r="C107" s="12" t="s">
        <v>1160</v>
      </c>
    </row>
    <row r="108" spans="3:3" x14ac:dyDescent="0.2">
      <c r="C108" s="12" t="s">
        <v>1161</v>
      </c>
    </row>
    <row r="109" spans="3:3" x14ac:dyDescent="0.2">
      <c r="C109" s="12" t="s">
        <v>1162</v>
      </c>
    </row>
    <row r="110" spans="3:3" x14ac:dyDescent="0.2">
      <c r="C110" s="12" t="s">
        <v>1163</v>
      </c>
    </row>
    <row r="111" spans="3:3" x14ac:dyDescent="0.2">
      <c r="C111" s="12" t="s">
        <v>1164</v>
      </c>
    </row>
    <row r="112" spans="3:3" x14ac:dyDescent="0.2">
      <c r="C112" s="12" t="s">
        <v>1165</v>
      </c>
    </row>
    <row r="113" spans="3:3" x14ac:dyDescent="0.2">
      <c r="C113" s="12" t="s">
        <v>1166</v>
      </c>
    </row>
    <row r="114" spans="3:3" x14ac:dyDescent="0.2">
      <c r="C114" s="12" t="s">
        <v>1167</v>
      </c>
    </row>
    <row r="115" spans="3:3" x14ac:dyDescent="0.2">
      <c r="C115" s="12" t="s">
        <v>1168</v>
      </c>
    </row>
    <row r="116" spans="3:3" x14ac:dyDescent="0.2">
      <c r="C116" s="12" t="s">
        <v>1169</v>
      </c>
    </row>
    <row r="117" spans="3:3" x14ac:dyDescent="0.2">
      <c r="C117" s="12" t="s">
        <v>1170</v>
      </c>
    </row>
    <row r="118" spans="3:3" x14ac:dyDescent="0.2">
      <c r="C118" s="12" t="s">
        <v>1171</v>
      </c>
    </row>
    <row r="119" spans="3:3" x14ac:dyDescent="0.2">
      <c r="C119" s="12" t="s">
        <v>1172</v>
      </c>
    </row>
    <row r="120" spans="3:3" x14ac:dyDescent="0.2">
      <c r="C120" s="12" t="s">
        <v>1173</v>
      </c>
    </row>
    <row r="121" spans="3:3" x14ac:dyDescent="0.2">
      <c r="C121" s="12" t="s">
        <v>1174</v>
      </c>
    </row>
    <row r="122" spans="3:3" x14ac:dyDescent="0.2">
      <c r="C122" s="12" t="s">
        <v>1175</v>
      </c>
    </row>
    <row r="123" spans="3:3" x14ac:dyDescent="0.2">
      <c r="C123" s="12" t="s">
        <v>1176</v>
      </c>
    </row>
    <row r="124" spans="3:3" x14ac:dyDescent="0.2">
      <c r="C124" s="12" t="s">
        <v>1177</v>
      </c>
    </row>
    <row r="125" spans="3:3" x14ac:dyDescent="0.2">
      <c r="C125" s="12" t="s">
        <v>1178</v>
      </c>
    </row>
    <row r="126" spans="3:3" x14ac:dyDescent="0.2">
      <c r="C126" s="12" t="s">
        <v>1179</v>
      </c>
    </row>
    <row r="127" spans="3:3" x14ac:dyDescent="0.2">
      <c r="C127" s="12" t="s">
        <v>1180</v>
      </c>
    </row>
    <row r="128" spans="3:3" x14ac:dyDescent="0.2">
      <c r="C128" s="12" t="s">
        <v>1181</v>
      </c>
    </row>
    <row r="129" spans="3:3" x14ac:dyDescent="0.2">
      <c r="C129" s="12" t="s">
        <v>1182</v>
      </c>
    </row>
    <row r="130" spans="3:3" x14ac:dyDescent="0.2">
      <c r="C130" s="12" t="s">
        <v>1183</v>
      </c>
    </row>
    <row r="131" spans="3:3" x14ac:dyDescent="0.2">
      <c r="C131" s="12" t="s">
        <v>1184</v>
      </c>
    </row>
    <row r="132" spans="3:3" x14ac:dyDescent="0.2">
      <c r="C132" s="12" t="s">
        <v>1185</v>
      </c>
    </row>
    <row r="133" spans="3:3" x14ac:dyDescent="0.2">
      <c r="C133" s="12" t="s">
        <v>1186</v>
      </c>
    </row>
    <row r="134" spans="3:3" x14ac:dyDescent="0.2">
      <c r="C134" s="12" t="s">
        <v>1187</v>
      </c>
    </row>
    <row r="135" spans="3:3" x14ac:dyDescent="0.2">
      <c r="C135" s="12" t="s">
        <v>1188</v>
      </c>
    </row>
    <row r="136" spans="3:3" x14ac:dyDescent="0.2">
      <c r="C136" s="12" t="s">
        <v>1189</v>
      </c>
    </row>
    <row r="137" spans="3:3" x14ac:dyDescent="0.2">
      <c r="C137" s="12" t="s">
        <v>1190</v>
      </c>
    </row>
    <row r="138" spans="3:3" x14ac:dyDescent="0.2">
      <c r="C138" s="12" t="s">
        <v>1191</v>
      </c>
    </row>
    <row r="139" spans="3:3" x14ac:dyDescent="0.2">
      <c r="C139" s="12" t="s">
        <v>1192</v>
      </c>
    </row>
    <row r="140" spans="3:3" x14ac:dyDescent="0.2">
      <c r="C140" s="12" t="s">
        <v>1193</v>
      </c>
    </row>
    <row r="141" spans="3:3" x14ac:dyDescent="0.2">
      <c r="C141" s="12" t="s">
        <v>1103</v>
      </c>
    </row>
    <row r="142" spans="3:3" x14ac:dyDescent="0.2">
      <c r="C142" s="12" t="s">
        <v>1194</v>
      </c>
    </row>
    <row r="143" spans="3:3" x14ac:dyDescent="0.2">
      <c r="C143" s="12" t="s">
        <v>1195</v>
      </c>
    </row>
    <row r="144" spans="3:3" x14ac:dyDescent="0.2">
      <c r="C144" s="12" t="s">
        <v>1196</v>
      </c>
    </row>
    <row r="145" spans="3:3" x14ac:dyDescent="0.2">
      <c r="C145" s="12" t="s">
        <v>1197</v>
      </c>
    </row>
    <row r="146" spans="3:3" x14ac:dyDescent="0.2">
      <c r="C146" s="12" t="s">
        <v>1198</v>
      </c>
    </row>
    <row r="147" spans="3:3" x14ac:dyDescent="0.2">
      <c r="C147" s="12" t="s">
        <v>1199</v>
      </c>
    </row>
    <row r="148" spans="3:3" x14ac:dyDescent="0.2">
      <c r="C148" s="12" t="s">
        <v>1200</v>
      </c>
    </row>
    <row r="149" spans="3:3" x14ac:dyDescent="0.2">
      <c r="C149" s="12" t="s">
        <v>1201</v>
      </c>
    </row>
    <row r="150" spans="3:3" x14ac:dyDescent="0.2">
      <c r="C150" s="12" t="s">
        <v>1202</v>
      </c>
    </row>
    <row r="151" spans="3:3" x14ac:dyDescent="0.2">
      <c r="C151" s="12" t="s">
        <v>1203</v>
      </c>
    </row>
    <row r="152" spans="3:3" x14ac:dyDescent="0.2">
      <c r="C152" s="12" t="s">
        <v>1204</v>
      </c>
    </row>
    <row r="153" spans="3:3" x14ac:dyDescent="0.2">
      <c r="C153" s="12" t="s">
        <v>1205</v>
      </c>
    </row>
    <row r="154" spans="3:3" x14ac:dyDescent="0.2">
      <c r="C154" s="12" t="s">
        <v>1206</v>
      </c>
    </row>
    <row r="155" spans="3:3" x14ac:dyDescent="0.2">
      <c r="C155" s="12" t="s">
        <v>1207</v>
      </c>
    </row>
    <row r="156" spans="3:3" x14ac:dyDescent="0.2">
      <c r="C156" s="12" t="s">
        <v>1208</v>
      </c>
    </row>
    <row r="157" spans="3:3" x14ac:dyDescent="0.2">
      <c r="C157" s="12" t="s">
        <v>1209</v>
      </c>
    </row>
    <row r="158" spans="3:3" x14ac:dyDescent="0.2">
      <c r="C158" s="12" t="s">
        <v>1210</v>
      </c>
    </row>
    <row r="159" spans="3:3" x14ac:dyDescent="0.2">
      <c r="C159" s="12" t="s">
        <v>1211</v>
      </c>
    </row>
    <row r="160" spans="3:3" x14ac:dyDescent="0.2">
      <c r="C160" s="12" t="s">
        <v>1212</v>
      </c>
    </row>
    <row r="161" spans="3:3" x14ac:dyDescent="0.2">
      <c r="C161" s="12" t="s">
        <v>1213</v>
      </c>
    </row>
    <row r="162" spans="3:3" x14ac:dyDescent="0.2">
      <c r="C162" s="12" t="s">
        <v>1214</v>
      </c>
    </row>
    <row r="163" spans="3:3" x14ac:dyDescent="0.2">
      <c r="C163" s="12" t="s">
        <v>1215</v>
      </c>
    </row>
    <row r="164" spans="3:3" x14ac:dyDescent="0.2">
      <c r="C164" s="12" t="s">
        <v>1216</v>
      </c>
    </row>
    <row r="165" spans="3:3" x14ac:dyDescent="0.2">
      <c r="C165" s="12" t="s">
        <v>1217</v>
      </c>
    </row>
    <row r="166" spans="3:3" x14ac:dyDescent="0.2">
      <c r="C166" s="12" t="s">
        <v>1218</v>
      </c>
    </row>
    <row r="167" spans="3:3" x14ac:dyDescent="0.2">
      <c r="C167" s="12" t="s">
        <v>1219</v>
      </c>
    </row>
    <row r="168" spans="3:3" x14ac:dyDescent="0.2">
      <c r="C168" s="12" t="s">
        <v>1105</v>
      </c>
    </row>
    <row r="169" spans="3:3" x14ac:dyDescent="0.2">
      <c r="C169" s="12" t="s">
        <v>1220</v>
      </c>
    </row>
    <row r="170" spans="3:3" x14ac:dyDescent="0.2">
      <c r="C170" s="12" t="s">
        <v>1221</v>
      </c>
    </row>
    <row r="171" spans="3:3" x14ac:dyDescent="0.2">
      <c r="C171" s="12" t="s">
        <v>1222</v>
      </c>
    </row>
    <row r="172" spans="3:3" x14ac:dyDescent="0.2">
      <c r="C172" s="12" t="s">
        <v>1107</v>
      </c>
    </row>
    <row r="173" spans="3:3" x14ac:dyDescent="0.2">
      <c r="C173" s="12" t="s">
        <v>1223</v>
      </c>
    </row>
    <row r="174" spans="3:3" x14ac:dyDescent="0.2">
      <c r="C174" s="12" t="s">
        <v>1224</v>
      </c>
    </row>
    <row r="175" spans="3:3" x14ac:dyDescent="0.2">
      <c r="C175" s="12" t="s">
        <v>1225</v>
      </c>
    </row>
    <row r="176" spans="3:3" x14ac:dyDescent="0.2">
      <c r="C176" s="12" t="s">
        <v>1226</v>
      </c>
    </row>
    <row r="177" spans="3:3" x14ac:dyDescent="0.2">
      <c r="C177" s="12" t="s">
        <v>1227</v>
      </c>
    </row>
    <row r="178" spans="3:3" x14ac:dyDescent="0.2">
      <c r="C178" s="12" t="s">
        <v>1228</v>
      </c>
    </row>
    <row r="179" spans="3:3" x14ac:dyDescent="0.2">
      <c r="C179" s="12" t="s">
        <v>1229</v>
      </c>
    </row>
    <row r="180" spans="3:3" x14ac:dyDescent="0.2">
      <c r="C180" s="12" t="s">
        <v>1230</v>
      </c>
    </row>
    <row r="181" spans="3:3" x14ac:dyDescent="0.2">
      <c r="C181" s="12" t="s">
        <v>1231</v>
      </c>
    </row>
    <row r="182" spans="3:3" x14ac:dyDescent="0.2">
      <c r="C182" s="12" t="s">
        <v>1088</v>
      </c>
    </row>
    <row r="183" spans="3:3" x14ac:dyDescent="0.2">
      <c r="C183" s="12" t="s">
        <v>1232</v>
      </c>
    </row>
    <row r="184" spans="3:3" x14ac:dyDescent="0.2">
      <c r="C184" s="12" t="s">
        <v>1233</v>
      </c>
    </row>
    <row r="185" spans="3:3" x14ac:dyDescent="0.2">
      <c r="C185" s="12" t="s">
        <v>1234</v>
      </c>
    </row>
    <row r="186" spans="3:3" x14ac:dyDescent="0.2">
      <c r="C186" s="12" t="s">
        <v>1235</v>
      </c>
    </row>
    <row r="187" spans="3:3" x14ac:dyDescent="0.2">
      <c r="C187" s="12" t="s">
        <v>1236</v>
      </c>
    </row>
    <row r="188" spans="3:3" x14ac:dyDescent="0.2">
      <c r="C188" s="12" t="s">
        <v>1237</v>
      </c>
    </row>
    <row r="189" spans="3:3" x14ac:dyDescent="0.2">
      <c r="C189" s="12" t="s">
        <v>1238</v>
      </c>
    </row>
    <row r="190" spans="3:3" x14ac:dyDescent="0.2">
      <c r="C190" s="12" t="s">
        <v>1239</v>
      </c>
    </row>
    <row r="191" spans="3:3" x14ac:dyDescent="0.2">
      <c r="C191" s="12" t="s">
        <v>1240</v>
      </c>
    </row>
    <row r="192" spans="3:3" x14ac:dyDescent="0.2">
      <c r="C192" s="12" t="s">
        <v>1241</v>
      </c>
    </row>
    <row r="193" spans="3:3" x14ac:dyDescent="0.2">
      <c r="C193" s="12" t="s">
        <v>1242</v>
      </c>
    </row>
    <row r="194" spans="3:3" x14ac:dyDescent="0.2">
      <c r="C194" s="12" t="s">
        <v>1243</v>
      </c>
    </row>
    <row r="195" spans="3:3" x14ac:dyDescent="0.2">
      <c r="C195" s="12" t="s">
        <v>1244</v>
      </c>
    </row>
    <row r="196" spans="3:3" x14ac:dyDescent="0.2">
      <c r="C196" s="12" t="s">
        <v>1245</v>
      </c>
    </row>
    <row r="197" spans="3:3" x14ac:dyDescent="0.2">
      <c r="C197" s="12" t="s">
        <v>1246</v>
      </c>
    </row>
    <row r="198" spans="3:3" x14ac:dyDescent="0.2">
      <c r="C198" s="12" t="s">
        <v>1247</v>
      </c>
    </row>
    <row r="199" spans="3:3" x14ac:dyDescent="0.2">
      <c r="C199" s="12" t="s">
        <v>1248</v>
      </c>
    </row>
    <row r="200" spans="3:3" x14ac:dyDescent="0.2">
      <c r="C200" s="12" t="s">
        <v>1249</v>
      </c>
    </row>
    <row r="201" spans="3:3" x14ac:dyDescent="0.2">
      <c r="C201" s="12" t="s">
        <v>1250</v>
      </c>
    </row>
    <row r="202" spans="3:3" x14ac:dyDescent="0.2">
      <c r="C202" s="12" t="s">
        <v>1250</v>
      </c>
    </row>
    <row r="203" spans="3:3" x14ac:dyDescent="0.2">
      <c r="C203" s="12" t="s">
        <v>1251</v>
      </c>
    </row>
    <row r="204" spans="3:3" x14ac:dyDescent="0.2">
      <c r="C204" s="12" t="s">
        <v>1252</v>
      </c>
    </row>
    <row r="205" spans="3:3" x14ac:dyDescent="0.2">
      <c r="C205" s="12" t="s">
        <v>1253</v>
      </c>
    </row>
    <row r="206" spans="3:3" x14ac:dyDescent="0.2">
      <c r="C206" s="12" t="s">
        <v>1254</v>
      </c>
    </row>
    <row r="207" spans="3:3" x14ac:dyDescent="0.2">
      <c r="C207" s="12" t="s">
        <v>1255</v>
      </c>
    </row>
    <row r="208" spans="3:3" x14ac:dyDescent="0.2">
      <c r="C208" s="12" t="s">
        <v>1256</v>
      </c>
    </row>
    <row r="209" spans="3:3" x14ac:dyDescent="0.2">
      <c r="C209" s="12" t="s">
        <v>1257</v>
      </c>
    </row>
    <row r="210" spans="3:3" x14ac:dyDescent="0.2">
      <c r="C210" s="12" t="s">
        <v>1258</v>
      </c>
    </row>
    <row r="211" spans="3:3" x14ac:dyDescent="0.2">
      <c r="C211" s="12" t="s">
        <v>1259</v>
      </c>
    </row>
    <row r="212" spans="3:3" x14ac:dyDescent="0.2">
      <c r="C212" s="12" t="s">
        <v>1260</v>
      </c>
    </row>
    <row r="213" spans="3:3" x14ac:dyDescent="0.2">
      <c r="C213" s="12" t="s">
        <v>1261</v>
      </c>
    </row>
    <row r="214" spans="3:3" x14ac:dyDescent="0.2">
      <c r="C214" s="12" t="s">
        <v>1262</v>
      </c>
    </row>
    <row r="215" spans="3:3" x14ac:dyDescent="0.2">
      <c r="C215" s="12" t="s">
        <v>1263</v>
      </c>
    </row>
    <row r="216" spans="3:3" x14ac:dyDescent="0.2">
      <c r="C216" s="12" t="s">
        <v>1264</v>
      </c>
    </row>
    <row r="217" spans="3:3" x14ac:dyDescent="0.2">
      <c r="C217" s="12" t="s">
        <v>1265</v>
      </c>
    </row>
    <row r="218" spans="3:3" x14ac:dyDescent="0.2">
      <c r="C218" s="12" t="s">
        <v>1266</v>
      </c>
    </row>
    <row r="219" spans="3:3" x14ac:dyDescent="0.2">
      <c r="C219" s="12" t="s">
        <v>1267</v>
      </c>
    </row>
    <row r="220" spans="3:3" x14ac:dyDescent="0.2">
      <c r="C220" s="12" t="s">
        <v>1268</v>
      </c>
    </row>
    <row r="221" spans="3:3" x14ac:dyDescent="0.2">
      <c r="C221" s="12" t="s">
        <v>1269</v>
      </c>
    </row>
    <row r="222" spans="3:3" x14ac:dyDescent="0.2">
      <c r="C222" s="12" t="s">
        <v>1270</v>
      </c>
    </row>
    <row r="223" spans="3:3" x14ac:dyDescent="0.2">
      <c r="C223" s="12" t="s">
        <v>1271</v>
      </c>
    </row>
    <row r="224" spans="3:3" x14ac:dyDescent="0.2">
      <c r="C224" s="12" t="s">
        <v>1272</v>
      </c>
    </row>
    <row r="225" spans="3:3" x14ac:dyDescent="0.2">
      <c r="C225" s="12" t="s">
        <v>1273</v>
      </c>
    </row>
    <row r="226" spans="3:3" x14ac:dyDescent="0.2">
      <c r="C226" s="12" t="s">
        <v>1274</v>
      </c>
    </row>
    <row r="227" spans="3:3" x14ac:dyDescent="0.2">
      <c r="C227" s="12" t="s">
        <v>1275</v>
      </c>
    </row>
    <row r="228" spans="3:3" x14ac:dyDescent="0.2">
      <c r="C228" s="12" t="s">
        <v>1276</v>
      </c>
    </row>
    <row r="229" spans="3:3" x14ac:dyDescent="0.2">
      <c r="C229" s="12" t="s">
        <v>1277</v>
      </c>
    </row>
    <row r="230" spans="3:3" x14ac:dyDescent="0.2">
      <c r="C230" s="12" t="s">
        <v>1278</v>
      </c>
    </row>
    <row r="231" spans="3:3" x14ac:dyDescent="0.2">
      <c r="C231" s="12" t="s">
        <v>1279</v>
      </c>
    </row>
    <row r="232" spans="3:3" x14ac:dyDescent="0.2">
      <c r="C232" s="12" t="s">
        <v>1280</v>
      </c>
    </row>
    <row r="233" spans="3:3" x14ac:dyDescent="0.2">
      <c r="C233" s="12" t="s">
        <v>1281</v>
      </c>
    </row>
    <row r="234" spans="3:3" x14ac:dyDescent="0.2">
      <c r="C234" s="12" t="s">
        <v>1282</v>
      </c>
    </row>
    <row r="235" spans="3:3" x14ac:dyDescent="0.2">
      <c r="C235" s="12" t="s">
        <v>1283</v>
      </c>
    </row>
    <row r="236" spans="3:3" x14ac:dyDescent="0.2">
      <c r="C236" s="12" t="s">
        <v>1284</v>
      </c>
    </row>
    <row r="237" spans="3:3" x14ac:dyDescent="0.2">
      <c r="C237" s="12" t="s">
        <v>1285</v>
      </c>
    </row>
    <row r="238" spans="3:3" x14ac:dyDescent="0.2">
      <c r="C238" s="12" t="s">
        <v>1286</v>
      </c>
    </row>
    <row r="239" spans="3:3" x14ac:dyDescent="0.2">
      <c r="C239" s="12" t="s">
        <v>1287</v>
      </c>
    </row>
    <row r="240" spans="3:3" x14ac:dyDescent="0.2">
      <c r="C240" s="12" t="s">
        <v>1288</v>
      </c>
    </row>
    <row r="241" spans="3:3" x14ac:dyDescent="0.2">
      <c r="C241" s="12" t="s">
        <v>1289</v>
      </c>
    </row>
    <row r="242" spans="3:3" x14ac:dyDescent="0.2">
      <c r="C242" s="12" t="s">
        <v>1290</v>
      </c>
    </row>
    <row r="243" spans="3:3" x14ac:dyDescent="0.2">
      <c r="C243" s="12" t="s">
        <v>1291</v>
      </c>
    </row>
    <row r="244" spans="3:3" x14ac:dyDescent="0.2">
      <c r="C244" s="12" t="s">
        <v>1292</v>
      </c>
    </row>
    <row r="245" spans="3:3" x14ac:dyDescent="0.2">
      <c r="C245" s="12" t="s">
        <v>1293</v>
      </c>
    </row>
    <row r="246" spans="3:3" x14ac:dyDescent="0.2">
      <c r="C246" s="12" t="s">
        <v>1294</v>
      </c>
    </row>
    <row r="247" spans="3:3" x14ac:dyDescent="0.2">
      <c r="C247" s="12" t="s">
        <v>1295</v>
      </c>
    </row>
    <row r="248" spans="3:3" x14ac:dyDescent="0.2">
      <c r="C248" s="12" t="s">
        <v>1296</v>
      </c>
    </row>
    <row r="249" spans="3:3" x14ac:dyDescent="0.2">
      <c r="C249" s="12" t="s">
        <v>1297</v>
      </c>
    </row>
    <row r="250" spans="3:3" x14ac:dyDescent="0.2">
      <c r="C250" s="12" t="s">
        <v>1298</v>
      </c>
    </row>
    <row r="251" spans="3:3" x14ac:dyDescent="0.2">
      <c r="C251" s="12" t="s">
        <v>1299</v>
      </c>
    </row>
    <row r="252" spans="3:3" x14ac:dyDescent="0.2">
      <c r="C252" s="12" t="s">
        <v>1300</v>
      </c>
    </row>
    <row r="253" spans="3:3" x14ac:dyDescent="0.2">
      <c r="C253" s="12" t="s">
        <v>1301</v>
      </c>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topLeftCell="AE1" zoomScale="200" workbookViewId="0">
      <selection activeCell="AI4" sqref="AI4"/>
    </sheetView>
  </sheetViews>
  <sheetFormatPr baseColWidth="10" defaultColWidth="10.83203125" defaultRowHeight="16" x14ac:dyDescent="0.2"/>
  <cols>
    <col min="1" max="1" width="10.83203125" style="12"/>
    <col min="2" max="2" width="37.6640625" style="12" bestFit="1" customWidth="1"/>
    <col min="3" max="10" width="10.83203125" style="12"/>
    <col min="11" max="11" width="19.33203125" style="12" customWidth="1"/>
    <col min="12" max="12" width="10.83203125" style="12"/>
    <col min="13" max="13" width="38.1640625" style="12" bestFit="1" customWidth="1"/>
    <col min="14" max="14" width="10.83203125" style="12"/>
    <col min="15" max="15" width="49.5" style="12" customWidth="1"/>
    <col min="16" max="16" width="10.83203125" style="12"/>
    <col min="17" max="17" width="43.6640625" style="12" bestFit="1" customWidth="1"/>
    <col min="18" max="18" width="10.83203125" style="12"/>
    <col min="19" max="19" width="33" style="12" customWidth="1"/>
    <col min="20" max="20" width="10.83203125" style="12"/>
    <col min="21" max="21" width="27.1640625" style="12" customWidth="1"/>
    <col min="22" max="22" width="10.83203125" style="12"/>
    <col min="23" max="23" width="30" style="12" bestFit="1" customWidth="1"/>
    <col min="24" max="24" width="10.83203125" style="12"/>
    <col min="25" max="25" width="31" style="12" bestFit="1" customWidth="1"/>
    <col min="26" max="26" width="31.5" style="12" bestFit="1" customWidth="1"/>
    <col min="27" max="27" width="10.83203125" style="12"/>
    <col min="28" max="28" width="23.33203125" style="12" bestFit="1" customWidth="1"/>
    <col min="29" max="29" width="38.5" style="12" bestFit="1" customWidth="1"/>
    <col min="30" max="30" width="10.83203125" style="12"/>
    <col min="31" max="31" width="29.6640625" style="12" bestFit="1" customWidth="1"/>
    <col min="32" max="34" width="10.83203125" style="12"/>
    <col min="35" max="35" width="56.33203125" style="12" bestFit="1" customWidth="1"/>
    <col min="36" max="36" width="10.83203125" style="12"/>
    <col min="37" max="37" width="31.33203125" style="12" bestFit="1" customWidth="1"/>
    <col min="38" max="38" width="10.83203125" style="12"/>
    <col min="39" max="39" width="31.33203125" style="12" bestFit="1" customWidth="1"/>
    <col min="40" max="40" width="10.83203125" style="12"/>
    <col min="41" max="41" width="43.33203125" style="12" bestFit="1" customWidth="1"/>
    <col min="42" max="42" width="10.83203125" style="12"/>
    <col min="43" max="43" width="58.6640625" style="12" bestFit="1" customWidth="1"/>
    <col min="44" max="44" width="13.1640625" style="12" bestFit="1" customWidth="1"/>
    <col min="45" max="45" width="27.5" style="12" customWidth="1"/>
    <col min="46" max="46" width="14.83203125" style="12" bestFit="1" customWidth="1"/>
    <col min="47" max="47" width="20.33203125" style="12" bestFit="1" customWidth="1"/>
    <col min="48" max="16384" width="10.83203125" style="12"/>
  </cols>
  <sheetData>
    <row r="1" spans="1:47" s="79" customFormat="1" x14ac:dyDescent="0.2">
      <c r="A1" s="79" t="s">
        <v>1302</v>
      </c>
      <c r="E1" s="79" t="s">
        <v>1303</v>
      </c>
      <c r="H1" s="79" t="s">
        <v>1304</v>
      </c>
      <c r="J1" s="79" t="s">
        <v>1305</v>
      </c>
      <c r="L1" s="79" t="s">
        <v>1306</v>
      </c>
      <c r="O1" s="79" t="s">
        <v>1307</v>
      </c>
      <c r="S1" s="79" t="s">
        <v>1308</v>
      </c>
      <c r="W1" s="79" t="s">
        <v>1309</v>
      </c>
      <c r="Z1" s="79" t="s">
        <v>1310</v>
      </c>
      <c r="AC1" s="79" t="s">
        <v>1311</v>
      </c>
      <c r="AF1" s="79" t="s">
        <v>630</v>
      </c>
      <c r="AH1" s="79" t="s">
        <v>1312</v>
      </c>
      <c r="AJ1" s="79" t="s">
        <v>1313</v>
      </c>
      <c r="AL1" s="79" t="s">
        <v>1314</v>
      </c>
      <c r="AN1" s="79" t="s">
        <v>1315</v>
      </c>
      <c r="AP1" s="79" t="s">
        <v>1316</v>
      </c>
      <c r="AR1" s="79" t="s">
        <v>1317</v>
      </c>
      <c r="AT1" s="79" t="s">
        <v>1318</v>
      </c>
    </row>
    <row r="2" spans="1:47" ht="17" x14ac:dyDescent="0.2">
      <c r="A2" s="66" t="b">
        <v>0</v>
      </c>
      <c r="B2" s="57" t="str">
        <f>IF(A2= TRUE, "Certificate|", "")</f>
        <v/>
      </c>
      <c r="E2" s="11" t="b">
        <v>0</v>
      </c>
      <c r="F2" s="11" t="str">
        <f>IF(E2= TRUE, "SAT|", "")</f>
        <v/>
      </c>
      <c r="H2" s="11" t="b">
        <v>1</v>
      </c>
      <c r="I2" s="11" t="str">
        <f>IF(H2= TRUE, "Fall|", "")</f>
        <v>Fall|</v>
      </c>
      <c r="J2" s="11" t="b">
        <v>1</v>
      </c>
      <c r="K2" s="11" t="str">
        <f>IF(J2= TRUE, "Rolling Admission", "")</f>
        <v>Rolling Admission</v>
      </c>
      <c r="L2" s="157" t="b">
        <v>1</v>
      </c>
      <c r="M2" s="11" t="str">
        <f>IF(L2= TRUE, "American Council on Education (ACE)|", "")</f>
        <v>American Council on Education (ACE)|</v>
      </c>
      <c r="O2" s="19" t="s">
        <v>1319</v>
      </c>
      <c r="P2" s="11" t="b">
        <v>0</v>
      </c>
      <c r="Q2" s="11" t="str">
        <f>IF(P2= TRUE, "Accelerated program|", "")</f>
        <v/>
      </c>
      <c r="S2" s="19" t="s">
        <v>1320</v>
      </c>
      <c r="T2" s="11" t="b">
        <v>0</v>
      </c>
      <c r="U2" s="11" t="str">
        <f>IF(T2= TRUE, "Arts/fine arts|", "")</f>
        <v/>
      </c>
      <c r="W2" t="s">
        <v>1321</v>
      </c>
      <c r="X2" t="b">
        <v>1</v>
      </c>
      <c r="Y2" t="str">
        <f>IF(X2= TRUE, "Campus Ministries|", "")</f>
        <v>Campus Ministries|</v>
      </c>
      <c r="Z2" t="s">
        <v>1322</v>
      </c>
      <c r="AA2" t="b">
        <v>0</v>
      </c>
      <c r="AB2" t="str">
        <f>IF(AA2= TRUE, "On Campus|", "")</f>
        <v/>
      </c>
      <c r="AC2" t="s">
        <v>1323</v>
      </c>
      <c r="AD2" t="b">
        <v>0</v>
      </c>
      <c r="AE2" t="str">
        <f>IF(AD2= TRUE, "Apartments for married students|", "")</f>
        <v/>
      </c>
      <c r="AF2" s="12" t="b">
        <v>0</v>
      </c>
      <c r="AG2" s="12" t="str">
        <f>IF(AF2, "2023-2024 academic costs not currently available", "")</f>
        <v/>
      </c>
      <c r="AH2" s="12" t="b">
        <v>1</v>
      </c>
      <c r="AI2" s="12" t="str">
        <f>IF(AH2= TRUE, "Institutional need-based grant or scholarship aid is available.|", "")</f>
        <v>Institutional need-based grant or scholarship aid is available.|</v>
      </c>
      <c r="AJ2" s="66" t="b">
        <v>0</v>
      </c>
      <c r="AK2" s="12" t="str">
        <f>IF(AJ2= TRUE, "Institution's own financial aid form|", "")</f>
        <v/>
      </c>
      <c r="AL2" s="12" t="b">
        <v>1</v>
      </c>
      <c r="AM2" s="12" t="str">
        <f>IF(AL2= TRUE, "FAFSA|", "")</f>
        <v>FAFSA|</v>
      </c>
      <c r="AN2" s="66" t="b">
        <v>1</v>
      </c>
      <c r="AO2" s="12" t="str">
        <f>IF(AN2= TRUE, "Direct Subsidized Stafford Loans | ", "")</f>
        <v xml:space="preserve">Direct Subsidized Stafford Loans | </v>
      </c>
      <c r="AP2" s="66" t="b">
        <v>1</v>
      </c>
      <c r="AQ2" s="12" t="str">
        <f>IF(AP2= TRUE, "Federal Pell| ", "")</f>
        <v xml:space="preserve">Federal Pell| </v>
      </c>
      <c r="AR2" s="66" t="b">
        <v>1</v>
      </c>
      <c r="AS2" s="12" t="str">
        <f>IF(AR2= TRUE, "Academics| ", "")</f>
        <v xml:space="preserve">Academics| </v>
      </c>
      <c r="AT2" s="12" t="b">
        <v>1</v>
      </c>
      <c r="AU2" s="12" t="str">
        <f>IF(AT2= TRUE, "Academics| ", "")</f>
        <v xml:space="preserve">Academics| </v>
      </c>
    </row>
    <row r="3" spans="1:47" ht="34" x14ac:dyDescent="0.2">
      <c r="A3" s="66" t="b">
        <v>0</v>
      </c>
      <c r="B3" s="57" t="str">
        <f>IF(A3= TRUE, "Diploma|", "")</f>
        <v/>
      </c>
      <c r="E3" s="11" t="b">
        <v>0</v>
      </c>
      <c r="F3" s="11" t="str">
        <f>IF(E3= TRUE, "ACT|", "")</f>
        <v/>
      </c>
      <c r="H3" s="11" t="b">
        <v>0</v>
      </c>
      <c r="I3" s="11" t="str">
        <f>IF(H3= TRUE, "Winter|", "")</f>
        <v/>
      </c>
      <c r="J3" s="11" t="b">
        <v>0</v>
      </c>
      <c r="K3" s="11" t="str">
        <f>IF(J3= TRUE, "Rolling Admission", "")</f>
        <v/>
      </c>
      <c r="L3" s="157" t="b">
        <v>1</v>
      </c>
      <c r="M3" s="11" t="str">
        <f>IF(L3= TRUE, "College Level Examination Program (CLEP)|", "")</f>
        <v>College Level Examination Program (CLEP)|</v>
      </c>
      <c r="O3" s="19" t="s">
        <v>1324</v>
      </c>
      <c r="P3" s="11" t="b">
        <v>0</v>
      </c>
      <c r="Q3" s="102" t="str">
        <f>IF(P3= TRUE, "Comprehensive transition and postsecondary program for students with intellectual disabilities|", "")</f>
        <v/>
      </c>
      <c r="S3" s="19" t="s">
        <v>1325</v>
      </c>
      <c r="T3" s="11" t="b">
        <v>0</v>
      </c>
      <c r="U3" s="11" t="str">
        <f>IF(T3= TRUE, "Computer literacy|", "")</f>
        <v/>
      </c>
      <c r="W3" t="s">
        <v>1326</v>
      </c>
      <c r="X3" t="b">
        <v>1</v>
      </c>
      <c r="Y3" t="str">
        <f>IF(X3= TRUE, "Choral groups|", "")</f>
        <v>Choral groups|</v>
      </c>
      <c r="Z3" t="s">
        <v>1327</v>
      </c>
      <c r="AA3" t="b">
        <v>1</v>
      </c>
      <c r="AB3" t="str">
        <f>IF(AA3= TRUE, "At cooperating institution|", "")</f>
        <v>At cooperating institution|</v>
      </c>
      <c r="AC3" t="s">
        <v>1328</v>
      </c>
      <c r="AD3" t="b">
        <v>1</v>
      </c>
      <c r="AE3" t="str">
        <f>IF(AD3= TRUE, "Apartments for single students|", "")</f>
        <v>Apartments for single students|</v>
      </c>
      <c r="AH3" s="12" t="b">
        <v>1</v>
      </c>
      <c r="AI3" s="12" t="str">
        <f>IF(AH3= TRUE, "Institutional non-need-based grant or scholarship aid is available.|", "")</f>
        <v>Institutional non-need-based grant or scholarship aid is available.|</v>
      </c>
      <c r="AJ3" s="66" t="b">
        <v>0</v>
      </c>
      <c r="AK3" s="12" t="str">
        <f>IF(AJ3= TRUE, "CSS Profile|", "")</f>
        <v/>
      </c>
      <c r="AL3" s="12" t="b">
        <v>0</v>
      </c>
      <c r="AM3" s="12" t="str">
        <f>IF(AL3= TRUE, "Institution's own financial aid form|", "")</f>
        <v/>
      </c>
      <c r="AN3" s="66" t="b">
        <v>1</v>
      </c>
      <c r="AO3" s="12" t="str">
        <f>IF(AN3= TRUE, "Direct Unsubsidized Stafford Loans | ", "")</f>
        <v xml:space="preserve">Direct Unsubsidized Stafford Loans | </v>
      </c>
      <c r="AP3" s="66" t="b">
        <v>1</v>
      </c>
      <c r="AQ3" s="12" t="str">
        <f>IF(AP3= TRUE, "SEOG| ", "")</f>
        <v xml:space="preserve">SEOG| </v>
      </c>
      <c r="AR3" s="66" t="b">
        <v>0</v>
      </c>
      <c r="AS3" s="12" t="str">
        <f>IF(AR3= TRUE, "Alumni Affiliation| ", "")</f>
        <v/>
      </c>
      <c r="AT3" s="12" t="b">
        <v>0</v>
      </c>
      <c r="AU3" s="12" t="str">
        <f>IF(AT3= TRUE, "Alumni Affiliation| ", "")</f>
        <v/>
      </c>
    </row>
    <row r="4" spans="1:47" ht="17" x14ac:dyDescent="0.2">
      <c r="A4" s="66" t="b">
        <v>0</v>
      </c>
      <c r="B4" s="57" t="str" cm="1">
        <f t="array" ref="B4">_xlfn.IFS(A4= TRUE, "Associate|",A4=FALSE, "")</f>
        <v/>
      </c>
      <c r="E4" s="11" t="b">
        <v>1</v>
      </c>
      <c r="F4" s="11" t="str">
        <f>IF(E4= TRUE, "AP|", "")</f>
        <v>AP|</v>
      </c>
      <c r="H4" s="11" t="b">
        <v>1</v>
      </c>
      <c r="I4" s="11" t="str">
        <f>IF(H4= TRUE, "Spring|", "")</f>
        <v>Spring|</v>
      </c>
      <c r="J4" s="11" t="b">
        <v>1</v>
      </c>
      <c r="K4" s="11" t="str">
        <f>IF(J4= TRUE, "Rolling Admission", "")</f>
        <v>Rolling Admission</v>
      </c>
      <c r="L4" s="157" t="b">
        <v>0</v>
      </c>
      <c r="M4" s="11" t="str">
        <f>IF(L4= TRUE, "DANTES Subject Standardized Tests (DSST)|", "")</f>
        <v/>
      </c>
      <c r="O4" s="19" t="s">
        <v>1329</v>
      </c>
      <c r="P4" s="11" t="b">
        <v>0</v>
      </c>
      <c r="Q4" s="11" t="str">
        <f>IF(P4= TRUE, "Cross-registration|", "")</f>
        <v/>
      </c>
      <c r="S4" s="19" t="s">
        <v>1330</v>
      </c>
      <c r="T4" s="11" t="b">
        <v>0</v>
      </c>
      <c r="U4" s="11" t="str">
        <f>IF(T4= TRUE, "English (including composition)|", "")</f>
        <v/>
      </c>
      <c r="W4" t="s">
        <v>1331</v>
      </c>
      <c r="X4" t="b">
        <v>1</v>
      </c>
      <c r="Y4" t="str">
        <f>IF(X4= TRUE, "Concert band|", "")</f>
        <v>Concert band|</v>
      </c>
      <c r="Z4"/>
      <c r="AA4"/>
      <c r="AB4"/>
      <c r="AC4" t="s">
        <v>1332</v>
      </c>
      <c r="AD4" t="b">
        <v>1</v>
      </c>
      <c r="AE4" t="str">
        <f>IF(AD4= TRUE, "Coed residence halls|", "")</f>
        <v>Coed residence halls|</v>
      </c>
      <c r="AH4" s="12" t="b">
        <v>1</v>
      </c>
      <c r="AI4" s="12" t="str">
        <f>IF(AH4= TRUE, "Institutional grant and scholarship aid is not available.|", "")</f>
        <v>Institutional grant and scholarship aid is not available.|</v>
      </c>
      <c r="AJ4" s="66" t="b">
        <v>1</v>
      </c>
      <c r="AK4" s="12" t="str">
        <f>IF(AJ4= TRUE, "Other|", "")</f>
        <v>Other|</v>
      </c>
      <c r="AL4" s="12" t="b">
        <v>0</v>
      </c>
      <c r="AM4" s="12" t="str">
        <f>IF(AL4= TRUE, "CSS Profile|", "")</f>
        <v/>
      </c>
      <c r="AN4" s="66" t="b">
        <v>1</v>
      </c>
      <c r="AO4" s="12" t="str">
        <f>IF(AN4= TRUE, "Direct PLUS Loans | ", "")</f>
        <v xml:space="preserve">Direct PLUS Loans | </v>
      </c>
      <c r="AP4" s="66" t="b">
        <v>1</v>
      </c>
      <c r="AQ4" s="12" t="str">
        <f>IF(AP4= TRUE, "State scholarships/grants| ", "")</f>
        <v xml:space="preserve">State scholarships/grants| </v>
      </c>
      <c r="AR4" s="66" t="b">
        <v>1</v>
      </c>
      <c r="AS4" s="12" t="str">
        <f>IF(AR4= TRUE, "Art| ", "")</f>
        <v xml:space="preserve">Art| </v>
      </c>
      <c r="AT4" s="12" t="b">
        <v>0</v>
      </c>
      <c r="AU4" s="12" t="str">
        <f>IF(AT4= TRUE, "Art| ", "")</f>
        <v/>
      </c>
    </row>
    <row r="5" spans="1:47" ht="17" x14ac:dyDescent="0.2">
      <c r="A5" s="66" t="b">
        <v>0</v>
      </c>
      <c r="B5" s="57" t="str" cm="1">
        <f t="array" ref="B5">_xlfn.IFS(A5=TRUE, "Transfer|",A5=FALSE, "")</f>
        <v/>
      </c>
      <c r="E5" s="11" t="b">
        <v>1</v>
      </c>
      <c r="F5" s="11" t="str">
        <f>IF(E5= TRUE, "CLEP|", "")</f>
        <v>CLEP|</v>
      </c>
      <c r="H5" s="11" t="b">
        <v>0</v>
      </c>
      <c r="I5" s="11" t="str">
        <f>IF(H5= TRUE, "Summer|", "")</f>
        <v/>
      </c>
      <c r="J5" s="11" t="b">
        <v>0</v>
      </c>
      <c r="K5" s="11" t="str">
        <f>IF(J5= TRUE, "Rolling Admission", "")</f>
        <v/>
      </c>
      <c r="O5" s="19" t="s">
        <v>1333</v>
      </c>
      <c r="P5" s="11" t="b">
        <v>0</v>
      </c>
      <c r="Q5" s="11" t="str">
        <f>IF(P5= TRUE, "Distance learning|", "")</f>
        <v/>
      </c>
      <c r="S5" s="19" t="s">
        <v>1334</v>
      </c>
      <c r="T5" s="11" t="b">
        <v>0</v>
      </c>
      <c r="U5" s="11" t="str">
        <f>IF(T5= TRUE, "Foreign languages|", "")</f>
        <v/>
      </c>
      <c r="W5" t="s">
        <v>1335</v>
      </c>
      <c r="X5" t="b">
        <v>1</v>
      </c>
      <c r="Y5" t="str">
        <f>IF(X5= TRUE, "Dance|", "")</f>
        <v>Dance|</v>
      </c>
      <c r="Z5" t="s">
        <v>1336</v>
      </c>
      <c r="AA5" t="b">
        <v>0</v>
      </c>
      <c r="AB5" t="str">
        <f>IF(AA5= TRUE, "Marine Option|", "")</f>
        <v/>
      </c>
      <c r="AC5" t="s">
        <v>1337</v>
      </c>
      <c r="AD5" t="b">
        <v>0</v>
      </c>
      <c r="AE5" t="str">
        <f>IF(AD5= TRUE, "Cooperative housing|", "")</f>
        <v/>
      </c>
      <c r="AL5" s="12" t="b">
        <v>0</v>
      </c>
      <c r="AM5" s="12" t="str">
        <f>IF(AL5= TRUE, "State aid form|", "")</f>
        <v/>
      </c>
      <c r="AN5" s="66" t="b">
        <v>0</v>
      </c>
      <c r="AO5" s="12" t="str">
        <f>IF(AN5= TRUE, "Federal Perkins Loans | ", "")</f>
        <v/>
      </c>
      <c r="AP5" s="66" t="b">
        <v>1</v>
      </c>
      <c r="AQ5" s="12" t="str">
        <f>IF(AP5= TRUE, "Private Scholarships| ", "")</f>
        <v xml:space="preserve">Private Scholarships| </v>
      </c>
      <c r="AR5" s="66" t="b">
        <v>0</v>
      </c>
      <c r="AS5" s="12" t="str">
        <f>IF(AR5= TRUE, "Athletics| ", "")</f>
        <v/>
      </c>
      <c r="AT5" s="12" t="b">
        <v>0</v>
      </c>
      <c r="AU5" s="12" t="str">
        <f>IF(AT5= TRUE, "Athletics| ", "")</f>
        <v/>
      </c>
    </row>
    <row r="6" spans="1:47" ht="17" x14ac:dyDescent="0.2">
      <c r="A6" s="66" t="b">
        <v>0</v>
      </c>
      <c r="B6" s="57" t="str" cm="1">
        <f t="array" ref="B6">_xlfn.IFS(A6=TRUE, "Terminal|",A6=FALSE, "")</f>
        <v/>
      </c>
      <c r="E6" s="11" t="b">
        <v>1</v>
      </c>
      <c r="F6" s="11" t="str">
        <f>IF(E6= TRUE, "Institutional Exam|", "")</f>
        <v>Institutional Exam|</v>
      </c>
      <c r="O6" s="19" t="s">
        <v>1338</v>
      </c>
      <c r="P6" s="11" t="b">
        <v>1</v>
      </c>
      <c r="Q6" s="11" t="str">
        <f>IF(P6= TRUE, "Double major|", "")</f>
        <v>Double major|</v>
      </c>
      <c r="S6" s="19" t="s">
        <v>1339</v>
      </c>
      <c r="T6" s="11" t="b">
        <v>0</v>
      </c>
      <c r="U6" s="11" t="str">
        <f>IF(T6= TRUE, "History|", "")</f>
        <v/>
      </c>
      <c r="W6" t="s">
        <v>1340</v>
      </c>
      <c r="X6" t="b">
        <v>1</v>
      </c>
      <c r="Y6" t="str">
        <f>IF(X6= TRUE, "Drama/theater|", "")</f>
        <v>Drama/theater|</v>
      </c>
      <c r="Z6" t="s">
        <v>1341</v>
      </c>
      <c r="AA6" t="b">
        <v>0</v>
      </c>
      <c r="AB6" t="str">
        <f>IF(AA6= TRUE, "On Campus|", "")</f>
        <v/>
      </c>
      <c r="AC6" t="s">
        <v>1342</v>
      </c>
      <c r="AD6" t="b">
        <v>1</v>
      </c>
      <c r="AE6" t="str">
        <f>IF(AD6= TRUE, "Fraternity/sorority housing|", "")</f>
        <v>Fraternity/sorority housing|</v>
      </c>
      <c r="AL6" s="12" t="b">
        <v>0</v>
      </c>
      <c r="AM6" s="12" t="str">
        <f>IF(AL6= TRUE, "Business/Farm Supplement|", "")</f>
        <v/>
      </c>
      <c r="AN6" s="66" t="b">
        <v>0</v>
      </c>
      <c r="AO6" s="12" t="str">
        <f>IF(AN6= TRUE, "Federal Nursing Loans | ", "")</f>
        <v/>
      </c>
      <c r="AP6" s="66" t="b">
        <v>1</v>
      </c>
      <c r="AQ6" s="12" t="str">
        <f>IF(AP6= TRUE, "College/university scholarship or grant aid from institutional funds| ", "")</f>
        <v xml:space="preserve">College/university scholarship or grant aid from institutional funds| </v>
      </c>
      <c r="AR6" s="66" t="b">
        <v>0</v>
      </c>
      <c r="AS6" s="12" t="str">
        <f>IF(AR6= TRUE, "Job Skills| ", "")</f>
        <v/>
      </c>
      <c r="AT6" s="12" t="b">
        <v>0</v>
      </c>
      <c r="AU6" s="12" t="str">
        <f>IF(AT6= TRUE, "Job Skills| ", "")</f>
        <v/>
      </c>
    </row>
    <row r="7" spans="1:47" ht="17" x14ac:dyDescent="0.2">
      <c r="A7" s="66" t="b">
        <v>1</v>
      </c>
      <c r="B7" s="57" t="str" cm="1">
        <f t="array" ref="B7">_xlfn.IFS(A7=TRUE, "Bachelor's|",A7=FALSE, "")</f>
        <v>Bachelor's|</v>
      </c>
      <c r="E7" s="11" t="b">
        <v>0</v>
      </c>
      <c r="F7" s="11" t="str">
        <f>IF(E7= TRUE, "State Exam|", "")</f>
        <v/>
      </c>
      <c r="O7" s="19" t="s">
        <v>1343</v>
      </c>
      <c r="P7" s="11" t="b">
        <v>1</v>
      </c>
      <c r="Q7" s="11" t="str">
        <f>IF(P7= TRUE, "Dual enrollment|", "")</f>
        <v>Dual enrollment|</v>
      </c>
      <c r="S7" s="19" t="s">
        <v>1344</v>
      </c>
      <c r="T7" s="11" t="b">
        <v>0</v>
      </c>
      <c r="U7" s="11" t="str">
        <f>IF(T7= TRUE, "Humanities|", "")</f>
        <v/>
      </c>
      <c r="W7" t="s">
        <v>1345</v>
      </c>
      <c r="X7" t="b">
        <v>1</v>
      </c>
      <c r="Y7" t="str">
        <f>IF(X7= TRUE, "International Student Organization|", "")</f>
        <v>International Student Organization|</v>
      </c>
      <c r="Z7" t="s">
        <v>1346</v>
      </c>
      <c r="AA7" t="b">
        <v>0</v>
      </c>
      <c r="AB7" t="str">
        <f>IF(AA7= TRUE, "At cooperating institution|", "")</f>
        <v/>
      </c>
      <c r="AC7" t="s">
        <v>1347</v>
      </c>
      <c r="AD7" t="b">
        <v>0</v>
      </c>
      <c r="AE7" t="str">
        <f>IF(AD7= TRUE, "Living Learning Communities|", "")</f>
        <v/>
      </c>
      <c r="AL7" s="12" t="b">
        <v>0</v>
      </c>
      <c r="AM7" s="12" t="str">
        <f>IF(AL7= TRUE, "Other", "")</f>
        <v/>
      </c>
      <c r="AN7" s="66" t="b">
        <v>0</v>
      </c>
      <c r="AO7" s="12" t="str">
        <f>IF(AN7= TRUE, "State Loans | ", "")</f>
        <v/>
      </c>
      <c r="AP7" s="66" t="b">
        <v>0</v>
      </c>
      <c r="AQ7" s="12" t="str">
        <f>IF(AP7= TRUE, "United Negro College Fund| ", "")</f>
        <v/>
      </c>
      <c r="AR7" s="66" t="b">
        <v>0</v>
      </c>
      <c r="AS7" s="12" t="str">
        <f>IF(AR7= TRUE, "ROTC| ", "")</f>
        <v/>
      </c>
      <c r="AT7" s="12" t="b">
        <v>0</v>
      </c>
      <c r="AU7" s="12" t="str">
        <f>IF(AT7= TRUE, "ROTC| ", "")</f>
        <v/>
      </c>
    </row>
    <row r="8" spans="1:47" ht="17" x14ac:dyDescent="0.2">
      <c r="A8" s="66" t="b">
        <v>0</v>
      </c>
      <c r="B8" s="57" t="str" cm="1">
        <f t="array" ref="B8">_xlfn.IFS(A8=TRUE,"Postbachelor's certificate|", A8=FALSE, "")</f>
        <v/>
      </c>
      <c r="O8" s="19" t="s">
        <v>1348</v>
      </c>
      <c r="P8" s="11" t="b">
        <v>0</v>
      </c>
      <c r="Q8" s="11" t="str">
        <f>IF(P8= TRUE, "English as a Second Language (ESL)|", "")</f>
        <v/>
      </c>
      <c r="S8" s="19" t="s">
        <v>1349</v>
      </c>
      <c r="T8" s="11" t="b">
        <v>0</v>
      </c>
      <c r="U8" s="11" t="str">
        <f>IF(T8= TRUE, "Intensive writing|", "")</f>
        <v/>
      </c>
      <c r="W8" t="s">
        <v>1350</v>
      </c>
      <c r="X8" t="b">
        <v>1</v>
      </c>
      <c r="Y8" t="str">
        <f>IF(X8= TRUE, "Jazz band|", "")</f>
        <v>Jazz band|</v>
      </c>
      <c r="Z8"/>
      <c r="AA8"/>
      <c r="AB8"/>
      <c r="AC8" t="s">
        <v>1351</v>
      </c>
      <c r="AD8" t="b">
        <v>0</v>
      </c>
      <c r="AE8" t="str">
        <f>IF(AD8= TRUE, "Other Housing Options|", "")</f>
        <v/>
      </c>
      <c r="AN8" s="66" t="b">
        <v>1</v>
      </c>
      <c r="AO8" s="12" t="str">
        <f>IF(AN8= TRUE, "College/university loans from institutional funds | ", "")</f>
        <v xml:space="preserve">College/university loans from institutional funds | </v>
      </c>
      <c r="AP8" s="66" t="b">
        <v>0</v>
      </c>
      <c r="AQ8" s="12" t="str">
        <f>IF(AP8= TRUE, "Federal Nursing Scholarship| ", "")</f>
        <v/>
      </c>
      <c r="AR8" s="66" t="b">
        <v>1</v>
      </c>
      <c r="AS8" s="12" t="str">
        <f>IF(AR8= TRUE, "Leadership| ", "")</f>
        <v xml:space="preserve">Leadership| </v>
      </c>
      <c r="AT8" s="12" t="b">
        <v>0</v>
      </c>
      <c r="AU8" s="12" t="str">
        <f>IF(AT8= TRUE, "Leadership| ", "")</f>
        <v/>
      </c>
    </row>
    <row r="9" spans="1:47" ht="17" x14ac:dyDescent="0.2">
      <c r="A9" s="66" t="b">
        <v>0</v>
      </c>
      <c r="B9" s="57" t="str" cm="1">
        <f t="array" ref="B9">_xlfn.IFS(A9= TRUE, "Master's|",A9=FALSE, "")</f>
        <v/>
      </c>
      <c r="O9" s="19" t="s">
        <v>1352</v>
      </c>
      <c r="P9" s="11" t="b">
        <v>0</v>
      </c>
      <c r="Q9" s="11" t="str">
        <f>IF(P9= TRUE, "Exchange student program (domestic) |", "")</f>
        <v/>
      </c>
      <c r="S9" s="19" t="s">
        <v>1353</v>
      </c>
      <c r="T9" s="11" t="b">
        <v>0</v>
      </c>
      <c r="U9" s="11" t="str">
        <f>IF(T9= TRUE, "Mathematics|", "")</f>
        <v/>
      </c>
      <c r="W9" t="s">
        <v>1354</v>
      </c>
      <c r="X9" t="b">
        <v>1</v>
      </c>
      <c r="Y9" t="str">
        <f>IF(X9= TRUE, "Literary magazine|", "")</f>
        <v>Literary magazine|</v>
      </c>
      <c r="Z9" t="s">
        <v>1355</v>
      </c>
      <c r="AA9" t="b">
        <v>0</v>
      </c>
      <c r="AB9" t="str">
        <f>IF(AA9= TRUE, "On Campus|", "")</f>
        <v/>
      </c>
      <c r="AC9" t="s">
        <v>1356</v>
      </c>
      <c r="AD9" t="b">
        <v>1</v>
      </c>
      <c r="AE9" t="str">
        <f>IF(AD9= TRUE, "Men's residence halls|", "")</f>
        <v>Men's residence halls|</v>
      </c>
      <c r="AN9" s="66" t="b">
        <v>1</v>
      </c>
      <c r="AO9" s="12" t="str">
        <f>IF(AN9= TRUE, "Other |", "")</f>
        <v>Other |</v>
      </c>
      <c r="AP9" s="66" t="b">
        <v>1</v>
      </c>
      <c r="AQ9" s="12" t="str">
        <f>IF(AP9= TRUE, "Other", "")</f>
        <v>Other</v>
      </c>
      <c r="AR9" s="66" t="b">
        <v>0</v>
      </c>
      <c r="AS9" s="12" t="str">
        <f>IF(AR9= TRUE, "Minority Status| ", "")</f>
        <v/>
      </c>
      <c r="AT9" s="12" t="b">
        <v>0</v>
      </c>
      <c r="AU9" s="12" t="str">
        <f>IF(AT9= TRUE, "Minority Status| ", "")</f>
        <v/>
      </c>
    </row>
    <row r="10" spans="1:47" ht="17" x14ac:dyDescent="0.2">
      <c r="A10" s="66" t="b">
        <v>0</v>
      </c>
      <c r="B10" s="57" t="str" cm="1">
        <f t="array" ref="B10">_xlfn.IFS(A10=TRUE, "Post-master's certificate|",A10=FALSE, "")</f>
        <v/>
      </c>
      <c r="O10" s="19" t="s">
        <v>1357</v>
      </c>
      <c r="P10" s="11" t="b">
        <v>0</v>
      </c>
      <c r="Q10" s="11" t="str">
        <f>IF(P10= TRUE, "External degree program|", "")</f>
        <v/>
      </c>
      <c r="S10" s="19" t="s">
        <v>1358</v>
      </c>
      <c r="T10" s="11" t="b">
        <v>0</v>
      </c>
      <c r="U10" s="11" t="str">
        <f>IF(T10= TRUE, "Philosophy|", "")</f>
        <v/>
      </c>
      <c r="W10" t="s">
        <v>1359</v>
      </c>
      <c r="X10" t="b">
        <v>0</v>
      </c>
      <c r="Y10" t="str">
        <f>IF(X10= TRUE, "Marching band|", "")</f>
        <v/>
      </c>
      <c r="Z10" t="s">
        <v>1360</v>
      </c>
      <c r="AA10" t="b">
        <v>0</v>
      </c>
      <c r="AB10" t="str">
        <f>IF(AA10= TRUE, "At cooperating institution|", "")</f>
        <v/>
      </c>
      <c r="AC10" t="s">
        <v>1361</v>
      </c>
      <c r="AD10" t="b">
        <v>0</v>
      </c>
      <c r="AE10" t="str">
        <f>IF(AD10= TRUE, "Special housing for international students|", "")</f>
        <v/>
      </c>
      <c r="AR10" s="66" t="b">
        <v>1</v>
      </c>
      <c r="AS10" s="12" t="str">
        <f>IF(AR10= TRUE, "Music/Drama| ", "")</f>
        <v xml:space="preserve">Music/Drama| </v>
      </c>
      <c r="AT10" s="12" t="b">
        <v>0</v>
      </c>
      <c r="AU10" s="12" t="str">
        <f>IF(AT10= TRUE, "Music/Drama| ", "")</f>
        <v/>
      </c>
    </row>
    <row r="11" spans="1:47" ht="17" x14ac:dyDescent="0.2">
      <c r="A11" s="66" t="b">
        <v>0</v>
      </c>
      <c r="B11" s="57" t="str" cm="1">
        <f t="array" ref="B11">_xlfn.IFS(A11= TRUE, "Doctoral degree - research/scholarship|",A11=FALSE, "")</f>
        <v/>
      </c>
      <c r="O11" s="19" t="s">
        <v>1362</v>
      </c>
      <c r="P11" s="11" t="b">
        <v>1</v>
      </c>
      <c r="Q11" s="11" t="str">
        <f>IF(P11= TRUE, "Honors program|", "")</f>
        <v>Honors program|</v>
      </c>
      <c r="S11" s="19" t="s">
        <v>1363</v>
      </c>
      <c r="T11" s="11" t="b">
        <v>0</v>
      </c>
      <c r="U11" s="11" t="str">
        <f>IF(T11= TRUE, "Physical Education|", "")</f>
        <v/>
      </c>
      <c r="W11" t="s">
        <v>1364</v>
      </c>
      <c r="X11" t="b">
        <v>1</v>
      </c>
      <c r="Y11" t="str">
        <f>IF(X11= TRUE, "Model UN|", "")</f>
        <v>Model UN|</v>
      </c>
      <c r="AC11" t="s">
        <v>1365</v>
      </c>
      <c r="AD11" t="b">
        <v>1</v>
      </c>
      <c r="AE11" t="str">
        <f>IF(AD11= TRUE, "Special housing for students with disabilities|", "")</f>
        <v>Special housing for students with disabilities|</v>
      </c>
      <c r="AR11" s="66" t="b">
        <v>0</v>
      </c>
      <c r="AS11" s="12" t="str">
        <f>IF(AR11= TRUE, "Religious Affiliation| ", "")</f>
        <v/>
      </c>
      <c r="AT11" s="12" t="b">
        <v>0</v>
      </c>
      <c r="AU11" s="12" t="str">
        <f>IF(AT11= TRUE, "Religious Affiliation| ", "")</f>
        <v/>
      </c>
    </row>
    <row r="12" spans="1:47" ht="17" x14ac:dyDescent="0.2">
      <c r="A12" s="66" t="b">
        <v>0</v>
      </c>
      <c r="B12" s="57" t="str" cm="1">
        <f t="array" ref="B12">_xlfn.IFS(A12= TRUE, "Doctoral degree - professional practice|",A12=FALSE, "")</f>
        <v/>
      </c>
      <c r="O12" s="19" t="s">
        <v>1366</v>
      </c>
      <c r="P12" s="11" t="b">
        <v>1</v>
      </c>
      <c r="Q12" s="11" t="str">
        <f>IF(P12= TRUE, "Independent study|", "")</f>
        <v>Independent study|</v>
      </c>
      <c r="S12" s="19" t="s">
        <v>1367</v>
      </c>
      <c r="T12" s="11" t="b">
        <v>0</v>
      </c>
      <c r="U12" s="11" t="str">
        <f>IF(T12= TRUE, "Sciences (biological or physical)|", "")</f>
        <v/>
      </c>
      <c r="W12" t="s">
        <v>1368</v>
      </c>
      <c r="X12" t="b">
        <v>1</v>
      </c>
      <c r="Y12" t="str">
        <f>IF(X12= TRUE, "Music ensembles|", "")</f>
        <v>Music ensembles|</v>
      </c>
      <c r="AC12" t="s">
        <v>1369</v>
      </c>
      <c r="AD12" t="b">
        <v>1</v>
      </c>
      <c r="AE12" t="str">
        <f>IF(AD12= TRUE, "Theme housing|", "")</f>
        <v>Theme housing|</v>
      </c>
      <c r="AR12" s="66" t="b">
        <v>0</v>
      </c>
      <c r="AS12" s="12" t="str">
        <f>IF(AR12= TRUE, "State/District residency", "")</f>
        <v/>
      </c>
      <c r="AT12" s="12" t="b">
        <v>1</v>
      </c>
      <c r="AU12" s="12" t="str">
        <f>IF(AT12= TRUE, "State/District residency", "")</f>
        <v>State/District residency</v>
      </c>
    </row>
    <row r="13" spans="1:47" ht="17" x14ac:dyDescent="0.2">
      <c r="A13" s="66" t="b">
        <v>0</v>
      </c>
      <c r="B13" s="57" t="str" cm="1">
        <f t="array" ref="B13">_xlfn.IFS(A13= TRUE, "Doctoral degree - other|",A13=FALSE, "")</f>
        <v/>
      </c>
      <c r="O13" s="19" t="s">
        <v>1370</v>
      </c>
      <c r="P13" s="11" t="b">
        <v>1</v>
      </c>
      <c r="Q13" s="11" t="str">
        <f>IF(P13= TRUE, "Internships|", "")</f>
        <v>Internships|</v>
      </c>
      <c r="S13" s="19" t="s">
        <v>1371</v>
      </c>
      <c r="T13" s="11" t="b">
        <v>0</v>
      </c>
      <c r="U13" s="11" t="str">
        <f>IF(T13= TRUE, "Social Science|", "")</f>
        <v/>
      </c>
      <c r="W13" t="s">
        <v>1372</v>
      </c>
      <c r="X13" t="b">
        <v>0</v>
      </c>
      <c r="Y13" t="str">
        <f>IF(X13= TRUE, "Opera|", "")</f>
        <v/>
      </c>
      <c r="AC13" t="s">
        <v>1373</v>
      </c>
      <c r="AD13" t="b">
        <v>1</v>
      </c>
      <c r="AE13" t="str">
        <f>IF(AD13= TRUE, "Women's residence halls|", "")</f>
        <v>Women's residence halls|</v>
      </c>
    </row>
    <row r="14" spans="1:47" ht="17" x14ac:dyDescent="0.2">
      <c r="O14" s="19" t="s">
        <v>1374</v>
      </c>
      <c r="P14" s="11" t="b">
        <v>0</v>
      </c>
      <c r="Q14" s="11" t="str">
        <f>IF(P14= TRUE, "Liberal arts/career combination|", "")</f>
        <v/>
      </c>
      <c r="S14" s="19" t="s">
        <v>1375</v>
      </c>
      <c r="T14" s="11" t="b">
        <v>1</v>
      </c>
      <c r="U14" s="11" t="str">
        <f>IF(T14= TRUE, "Other|", "")</f>
        <v>Other|</v>
      </c>
      <c r="W14" t="s">
        <v>1376</v>
      </c>
      <c r="X14" t="b">
        <v>1</v>
      </c>
      <c r="Y14" t="str">
        <f>IF(X14= TRUE, "Pep band|", "")</f>
        <v>Pep band|</v>
      </c>
    </row>
    <row r="15" spans="1:47" ht="17" x14ac:dyDescent="0.2">
      <c r="O15" s="19" t="s">
        <v>1377</v>
      </c>
      <c r="P15" s="11" t="b">
        <v>1</v>
      </c>
      <c r="Q15" s="11" t="str">
        <f>IF(P15= TRUE, "Student-designed major|", "")</f>
        <v>Student-designed major|</v>
      </c>
      <c r="W15" t="s">
        <v>1378</v>
      </c>
      <c r="X15" t="b">
        <v>1</v>
      </c>
      <c r="Y15" t="str">
        <f>IF(X15= TRUE, "Radio station|", "")</f>
        <v>Radio station|</v>
      </c>
    </row>
    <row r="16" spans="1:47" ht="17" x14ac:dyDescent="0.2">
      <c r="O16" s="19" t="s">
        <v>1379</v>
      </c>
      <c r="P16" s="11" t="b">
        <v>1</v>
      </c>
      <c r="Q16" s="11" t="str">
        <f>IF(P16= TRUE, "Study abroad|", "")</f>
        <v>Study abroad|</v>
      </c>
      <c r="W16" t="s">
        <v>1380</v>
      </c>
      <c r="X16" t="b">
        <v>1</v>
      </c>
      <c r="Y16" t="str">
        <f>IF(X16= TRUE, "Student government|", "")</f>
        <v>Student government|</v>
      </c>
    </row>
    <row r="17" spans="15:25" ht="17" x14ac:dyDescent="0.2">
      <c r="O17" s="19" t="s">
        <v>1381</v>
      </c>
      <c r="P17" s="11" t="b">
        <v>0</v>
      </c>
      <c r="Q17" s="11" t="str">
        <f>IF(P17= TRUE, "Teacher certification program|", "")</f>
        <v/>
      </c>
      <c r="W17" t="s">
        <v>1382</v>
      </c>
      <c r="X17" t="b">
        <v>1</v>
      </c>
      <c r="Y17" t="str">
        <f>IF(X17= TRUE, "Student newspaper|", "")</f>
        <v>Student newspaper|</v>
      </c>
    </row>
    <row r="18" spans="15:25" ht="17" x14ac:dyDescent="0.2">
      <c r="O18" s="19" t="s">
        <v>1383</v>
      </c>
      <c r="P18" s="11" t="b">
        <v>1</v>
      </c>
      <c r="Q18" s="11" t="str">
        <f>IF(P18= TRUE, "Undergraduate research|", "")</f>
        <v>Undergraduate research|</v>
      </c>
      <c r="W18" t="s">
        <v>1384</v>
      </c>
      <c r="X18" t="b">
        <v>0</v>
      </c>
      <c r="Y18" t="str">
        <f>IF(X18= TRUE, "Student-run film society|", "")</f>
        <v/>
      </c>
    </row>
    <row r="19" spans="15:25" ht="17" x14ac:dyDescent="0.2">
      <c r="O19" s="19" t="s">
        <v>1385</v>
      </c>
      <c r="P19" s="11" t="b">
        <v>0</v>
      </c>
      <c r="Q19" s="11" t="str">
        <f>IF(P19= TRUE, "Weekend college|", "")</f>
        <v/>
      </c>
      <c r="W19" t="s">
        <v>1386</v>
      </c>
      <c r="X19" t="b">
        <v>1</v>
      </c>
      <c r="Y19" t="str">
        <f>IF(X19= TRUE, "Symphony orchestra|", "")</f>
        <v>Symphony orchestra|</v>
      </c>
    </row>
    <row r="20" spans="15:25" ht="17" x14ac:dyDescent="0.2">
      <c r="O20" s="19" t="s">
        <v>629</v>
      </c>
      <c r="P20" s="11" t="b">
        <v>1</v>
      </c>
      <c r="Q20" s="11" t="str">
        <f>IF(P20= TRUE, "Other|", "")</f>
        <v>Other|</v>
      </c>
      <c r="W20" t="s">
        <v>1387</v>
      </c>
      <c r="X20" t="b">
        <v>1</v>
      </c>
      <c r="Y20" t="str">
        <f>IF(X20= TRUE, "Television station|", "")</f>
        <v>Television station|</v>
      </c>
    </row>
    <row r="21" spans="15:25" x14ac:dyDescent="0.2">
      <c r="W21" t="s">
        <v>1388</v>
      </c>
      <c r="X21" t="b">
        <v>0</v>
      </c>
      <c r="Y21" t="str">
        <f>IF(X21= TRUE, "Yearbook|", "")</f>
        <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6"/>
  <sheetViews>
    <sheetView showGridLines="0" showRowColHeaders="0" showRuler="0" view="pageLayout" topLeftCell="A7" zoomScale="110" zoomScaleNormal="100" zoomScalePageLayoutView="110" workbookViewId="0"/>
  </sheetViews>
  <sheetFormatPr baseColWidth="10" defaultColWidth="11" defaultRowHeight="16" x14ac:dyDescent="0.2"/>
  <cols>
    <col min="1" max="1" width="114.6640625" customWidth="1"/>
  </cols>
  <sheetData>
    <row r="1" spans="1:1" x14ac:dyDescent="0.2">
      <c r="A1" s="2" t="s">
        <v>1389</v>
      </c>
    </row>
    <row r="2" spans="1:1" x14ac:dyDescent="0.2">
      <c r="A2" s="2"/>
    </row>
    <row r="3" spans="1:1" ht="68" x14ac:dyDescent="0.2">
      <c r="A3" s="253" t="s">
        <v>1390</v>
      </c>
    </row>
    <row r="4" spans="1:1" ht="7" customHeight="1" x14ac:dyDescent="0.2"/>
    <row r="5" spans="1:1" x14ac:dyDescent="0.2">
      <c r="A5" s="1" t="s">
        <v>1391</v>
      </c>
    </row>
    <row r="6" spans="1:1" ht="5" customHeight="1" x14ac:dyDescent="0.2"/>
    <row r="7" spans="1:1" ht="34" x14ac:dyDescent="0.2">
      <c r="A7" s="14" t="s">
        <v>1392</v>
      </c>
    </row>
    <row r="8" spans="1:1" ht="6" customHeight="1" x14ac:dyDescent="0.2"/>
    <row r="9" spans="1:1" x14ac:dyDescent="0.2">
      <c r="A9" t="s">
        <v>1393</v>
      </c>
    </row>
    <row r="10" spans="1:1" ht="7" customHeight="1" x14ac:dyDescent="0.2"/>
    <row r="11" spans="1:1" ht="68" x14ac:dyDescent="0.2">
      <c r="A11" s="150" t="s">
        <v>2330</v>
      </c>
    </row>
    <row r="12" spans="1:1" ht="6" customHeight="1" x14ac:dyDescent="0.2"/>
    <row r="13" spans="1:1" ht="221" x14ac:dyDescent="0.2">
      <c r="A13" s="20" t="s">
        <v>2329</v>
      </c>
    </row>
    <row r="14" spans="1:1" x14ac:dyDescent="0.2">
      <c r="A14" s="20"/>
    </row>
    <row r="15" spans="1:1" x14ac:dyDescent="0.2">
      <c r="A15" t="s">
        <v>2327</v>
      </c>
    </row>
    <row r="16" spans="1:1" x14ac:dyDescent="0.2">
      <c r="A16" s="270" t="s">
        <v>2328</v>
      </c>
    </row>
  </sheetData>
  <sheetProtection algorithmName="SHA-512" hashValue="9cF7qvwK6Zk5Jd9vOZvRB9iRRNmtfBAmfeSgr8ha67/xP5oVbKHXnyVoskOsWA2vy26X3lhBqJ/3TzOGZFqftA==" saltValue="fOEsBE6DjQekYhLc9rTM8w==" spinCount="100000" sheet="1" objects="1" scenarios="1"/>
  <hyperlinks>
    <hyperlink ref="A16" r:id="rId1" xr:uid="{9B38B8BD-7D7D-F449-90DD-246E44399571}"/>
  </hyperlinks>
  <pageMargins left="0.25" right="0.25" top="0.75" bottom="0.75" header="0.3" footer="0.3"/>
  <pageSetup orientation="landscape" horizontalDpi="0" verticalDpi="0"/>
  <headerFooter>
    <oddHeader xml:space="preserve">&amp;L  &amp;C  &amp;R   </oddHeader>
    <oddFooter xml:space="preserve">&amp;L   &amp;C   &amp;R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23E31-67C4-BD4F-8C89-D7F6D088FB3A}">
  <dimension ref="A1"/>
  <sheetViews>
    <sheetView workbookViewId="0"/>
  </sheetViews>
  <sheetFormatPr baseColWidth="10" defaultColWidth="10.83203125" defaultRowHeight="16" x14ac:dyDescent="0.2"/>
  <cols>
    <col min="1" max="16384" width="10.83203125" style="269"/>
  </cols>
  <sheetData>
    <row r="1" spans="1:1" ht="34" x14ac:dyDescent="0.2">
      <c r="A1" s="268" t="s">
        <v>1394</v>
      </c>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showRowColHeaders="0" showRuler="0" topLeftCell="A106" zoomScaleNormal="100" zoomScaleSheetLayoutView="162" zoomScalePageLayoutView="110" workbookViewId="0">
      <selection activeCell="D31" sqref="D31"/>
    </sheetView>
  </sheetViews>
  <sheetFormatPr baseColWidth="10" defaultColWidth="11" defaultRowHeight="16" x14ac:dyDescent="0.2"/>
  <cols>
    <col min="2" max="2" width="17.1640625" customWidth="1"/>
    <col min="3" max="3" width="17.5" customWidth="1"/>
    <col min="4" max="4" width="51" customWidth="1"/>
  </cols>
  <sheetData>
    <row r="1" spans="1:5" ht="19" x14ac:dyDescent="0.25">
      <c r="A1" s="285" t="s">
        <v>1395</v>
      </c>
      <c r="B1" s="285"/>
      <c r="C1" s="285"/>
      <c r="D1" s="285"/>
      <c r="E1" s="285"/>
    </row>
    <row r="2" spans="1:5" ht="7" customHeight="1" x14ac:dyDescent="0.2"/>
    <row r="3" spans="1:5" ht="19" x14ac:dyDescent="0.25">
      <c r="A3" s="5" t="s">
        <v>1396</v>
      </c>
      <c r="B3" s="1"/>
    </row>
    <row r="4" spans="1:5" ht="7" customHeight="1" x14ac:dyDescent="0.2"/>
    <row r="5" spans="1:5" ht="17" x14ac:dyDescent="0.2">
      <c r="B5" s="284" t="s">
        <v>1397</v>
      </c>
      <c r="C5" s="284"/>
      <c r="D5" s="49" t="s">
        <v>2331</v>
      </c>
    </row>
    <row r="6" spans="1:5" ht="17" x14ac:dyDescent="0.2">
      <c r="B6" s="284" t="s">
        <v>1398</v>
      </c>
      <c r="C6" s="286"/>
      <c r="D6" s="49" t="s">
        <v>2332</v>
      </c>
    </row>
    <row r="7" spans="1:5" ht="28" x14ac:dyDescent="0.2">
      <c r="B7" s="284" t="s">
        <v>1399</v>
      </c>
      <c r="C7" s="284"/>
      <c r="D7" s="271" t="s">
        <v>2333</v>
      </c>
    </row>
    <row r="8" spans="1:5" x14ac:dyDescent="0.2">
      <c r="B8" s="284" t="s">
        <v>1400</v>
      </c>
      <c r="C8" s="284"/>
      <c r="D8" s="271" t="s">
        <v>2334</v>
      </c>
    </row>
    <row r="9" spans="1:5" x14ac:dyDescent="0.2">
      <c r="B9" s="284" t="s">
        <v>1401</v>
      </c>
      <c r="C9" s="284"/>
      <c r="D9" s="271" t="s">
        <v>2335</v>
      </c>
    </row>
    <row r="10" spans="1:5" ht="17" x14ac:dyDescent="0.2">
      <c r="B10" s="284" t="s">
        <v>1402</v>
      </c>
      <c r="C10" s="284"/>
      <c r="D10" s="49" t="s">
        <v>2336</v>
      </c>
    </row>
    <row r="11" spans="1:5" ht="17" x14ac:dyDescent="0.2">
      <c r="B11" s="284" t="s">
        <v>1403</v>
      </c>
      <c r="C11" s="284"/>
      <c r="D11" s="49" t="s">
        <v>1070</v>
      </c>
    </row>
    <row r="12" spans="1:5" x14ac:dyDescent="0.2">
      <c r="B12" s="284" t="s">
        <v>1404</v>
      </c>
      <c r="C12" s="284"/>
      <c r="D12" s="86">
        <v>16335</v>
      </c>
    </row>
    <row r="13" spans="1:5" ht="17" x14ac:dyDescent="0.2">
      <c r="B13" s="284" t="s">
        <v>1405</v>
      </c>
      <c r="C13" s="284"/>
      <c r="D13" s="49" t="s">
        <v>948</v>
      </c>
    </row>
    <row r="14" spans="1:5" ht="18" x14ac:dyDescent="0.2">
      <c r="B14" s="289" t="s">
        <v>1406</v>
      </c>
      <c r="C14" s="290"/>
      <c r="D14" s="272" t="s">
        <v>2337</v>
      </c>
    </row>
    <row r="15" spans="1:5" x14ac:dyDescent="0.2">
      <c r="B15" s="289" t="s">
        <v>1407</v>
      </c>
      <c r="C15" s="290"/>
      <c r="D15" s="50">
        <v>3773</v>
      </c>
    </row>
    <row r="16" spans="1:5" x14ac:dyDescent="0.2">
      <c r="B16" s="289" t="s">
        <v>1408</v>
      </c>
      <c r="C16" s="290"/>
      <c r="D16" s="58" t="s">
        <v>2338</v>
      </c>
    </row>
    <row r="17" spans="1:5" x14ac:dyDescent="0.2">
      <c r="B17" s="284"/>
      <c r="C17" s="284"/>
      <c r="D17" s="81"/>
    </row>
    <row r="19" spans="1:5" x14ac:dyDescent="0.2">
      <c r="B19" s="4" t="s">
        <v>1409</v>
      </c>
    </row>
    <row r="20" spans="1:5" x14ac:dyDescent="0.2">
      <c r="B20" s="4"/>
      <c r="D20" s="34" t="s">
        <v>946</v>
      </c>
    </row>
    <row r="21" spans="1:5" x14ac:dyDescent="0.2">
      <c r="B21" t="s">
        <v>1410</v>
      </c>
      <c r="D21" s="16"/>
    </row>
    <row r="22" spans="1:5" x14ac:dyDescent="0.2">
      <c r="D22" s="71" t="s">
        <v>2339</v>
      </c>
    </row>
    <row r="24" spans="1:5" ht="19" x14ac:dyDescent="0.25">
      <c r="A24" s="6" t="s">
        <v>1411</v>
      </c>
    </row>
    <row r="25" spans="1:5" ht="7" customHeight="1" x14ac:dyDescent="0.2"/>
    <row r="26" spans="1:5" ht="16" customHeight="1" x14ac:dyDescent="0.2">
      <c r="A26" s="288" t="s">
        <v>1412</v>
      </c>
      <c r="B26" s="288"/>
      <c r="C26" s="288"/>
      <c r="D26" s="288"/>
      <c r="E26" s="7"/>
    </row>
    <row r="27" spans="1:5" x14ac:dyDescent="0.2">
      <c r="A27" s="288"/>
      <c r="B27" s="288"/>
      <c r="C27" s="288"/>
      <c r="D27" s="288"/>
      <c r="E27" s="7"/>
    </row>
    <row r="28" spans="1:5" ht="32" customHeight="1" x14ac:dyDescent="0.2">
      <c r="A28" s="288"/>
      <c r="B28" s="288"/>
      <c r="C28" s="288"/>
      <c r="D28" s="288"/>
      <c r="E28" s="7"/>
    </row>
    <row r="29" spans="1:5" ht="7" customHeight="1" x14ac:dyDescent="0.2">
      <c r="A29" s="288"/>
      <c r="B29" s="288"/>
      <c r="C29" s="288"/>
      <c r="D29" s="288"/>
      <c r="E29" s="7"/>
    </row>
    <row r="30" spans="1:5" ht="8" customHeight="1" x14ac:dyDescent="0.2">
      <c r="B30" s="7"/>
      <c r="C30" s="7"/>
      <c r="D30" s="7"/>
      <c r="E30" s="7"/>
    </row>
    <row r="31" spans="1:5" ht="100" customHeight="1" x14ac:dyDescent="0.2">
      <c r="B31" s="7"/>
      <c r="C31" s="82" t="s">
        <v>1413</v>
      </c>
      <c r="D31" s="15"/>
    </row>
    <row r="32" spans="1:5" ht="19" x14ac:dyDescent="0.25">
      <c r="A32" s="5" t="s">
        <v>1414</v>
      </c>
      <c r="B32" s="1"/>
    </row>
    <row r="33" spans="1:4" x14ac:dyDescent="0.2">
      <c r="A33" s="10" t="s">
        <v>1415</v>
      </c>
    </row>
    <row r="34" spans="1:4" ht="17" x14ac:dyDescent="0.2">
      <c r="B34" t="s">
        <v>1416</v>
      </c>
      <c r="C34" s="9"/>
      <c r="D34" s="49" t="s">
        <v>2340</v>
      </c>
    </row>
    <row r="35" spans="1:4" x14ac:dyDescent="0.2">
      <c r="B35" t="s">
        <v>1417</v>
      </c>
      <c r="C35" s="9"/>
      <c r="D35" s="271" t="s">
        <v>2335</v>
      </c>
    </row>
    <row r="36" spans="1:4" ht="17" x14ac:dyDescent="0.2">
      <c r="B36" t="s">
        <v>1402</v>
      </c>
      <c r="C36" s="9"/>
      <c r="D36" s="49" t="s">
        <v>2336</v>
      </c>
    </row>
    <row r="37" spans="1:4" ht="17" x14ac:dyDescent="0.2">
      <c r="B37" t="s">
        <v>1403</v>
      </c>
      <c r="C37" s="9"/>
      <c r="D37" s="49" t="s">
        <v>1070</v>
      </c>
    </row>
    <row r="38" spans="1:4" x14ac:dyDescent="0.2">
      <c r="B38" t="s">
        <v>1404</v>
      </c>
      <c r="C38" s="9"/>
      <c r="D38" s="86">
        <v>16335</v>
      </c>
    </row>
    <row r="39" spans="1:4" ht="17" x14ac:dyDescent="0.2">
      <c r="B39" t="s">
        <v>1405</v>
      </c>
      <c r="C39" s="9"/>
      <c r="D39" s="49" t="s">
        <v>948</v>
      </c>
    </row>
    <row r="40" spans="1:4" x14ac:dyDescent="0.2">
      <c r="B40" t="s">
        <v>1418</v>
      </c>
      <c r="C40" s="9"/>
      <c r="D40" s="67">
        <v>8143323100</v>
      </c>
    </row>
    <row r="41" spans="1:4" x14ac:dyDescent="0.2">
      <c r="B41" t="s">
        <v>1419</v>
      </c>
      <c r="C41" s="9"/>
      <c r="D41" s="273" t="s">
        <v>2341</v>
      </c>
    </row>
    <row r="42" spans="1:4" x14ac:dyDescent="0.2">
      <c r="B42" t="s">
        <v>1420</v>
      </c>
      <c r="C42" s="9"/>
      <c r="D42" s="69"/>
    </row>
    <row r="43" spans="1:4" x14ac:dyDescent="0.2">
      <c r="D43" s="59"/>
    </row>
    <row r="44" spans="1:4" x14ac:dyDescent="0.2">
      <c r="A44" s="10" t="s">
        <v>1421</v>
      </c>
      <c r="D44" s="59"/>
    </row>
    <row r="45" spans="1:4" x14ac:dyDescent="0.2">
      <c r="B45" t="s">
        <v>1422</v>
      </c>
      <c r="D45" s="32" t="s">
        <v>2342</v>
      </c>
    </row>
    <row r="46" spans="1:4" x14ac:dyDescent="0.2">
      <c r="B46" t="s">
        <v>1402</v>
      </c>
      <c r="D46" s="32" t="s">
        <v>2336</v>
      </c>
    </row>
    <row r="47" spans="1:4" x14ac:dyDescent="0.2">
      <c r="B47" t="s">
        <v>1403</v>
      </c>
      <c r="D47" s="32" t="s">
        <v>1070</v>
      </c>
    </row>
    <row r="48" spans="1:4" x14ac:dyDescent="0.2">
      <c r="B48" t="s">
        <v>1404</v>
      </c>
      <c r="D48" s="87">
        <v>16335</v>
      </c>
    </row>
    <row r="49" spans="1:4" x14ac:dyDescent="0.2">
      <c r="B49" t="s">
        <v>1405</v>
      </c>
      <c r="D49" s="32" t="s">
        <v>948</v>
      </c>
    </row>
    <row r="50" spans="1:4" x14ac:dyDescent="0.2">
      <c r="B50" t="s">
        <v>1423</v>
      </c>
      <c r="D50" s="70">
        <v>8143324351</v>
      </c>
    </row>
    <row r="51" spans="1:4" x14ac:dyDescent="0.2">
      <c r="B51" t="s">
        <v>1424</v>
      </c>
      <c r="D51" s="70">
        <v>8005215293</v>
      </c>
    </row>
    <row r="52" spans="1:4" x14ac:dyDescent="0.2">
      <c r="B52" t="s">
        <v>1425</v>
      </c>
      <c r="D52" s="274" t="s">
        <v>2341</v>
      </c>
    </row>
    <row r="53" spans="1:4" x14ac:dyDescent="0.2">
      <c r="B53" t="s">
        <v>1426</v>
      </c>
      <c r="D53" s="68" t="s">
        <v>2343</v>
      </c>
    </row>
    <row r="55" spans="1:4" x14ac:dyDescent="0.2">
      <c r="B55" s="4" t="s">
        <v>1427</v>
      </c>
    </row>
    <row r="56" spans="1:4" x14ac:dyDescent="0.2">
      <c r="B56" s="4"/>
      <c r="D56" s="275" t="s">
        <v>2344</v>
      </c>
    </row>
    <row r="57" spans="1:4" x14ac:dyDescent="0.2">
      <c r="B57" s="4"/>
      <c r="D57" s="83"/>
    </row>
    <row r="58" spans="1:4" x14ac:dyDescent="0.2">
      <c r="B58" s="4"/>
      <c r="D58" s="83"/>
    </row>
    <row r="59" spans="1:4" x14ac:dyDescent="0.2">
      <c r="B59" s="4"/>
      <c r="D59" s="84"/>
    </row>
    <row r="60" spans="1:4" x14ac:dyDescent="0.2">
      <c r="B60" t="s">
        <v>1428</v>
      </c>
    </row>
    <row r="61" spans="1:4" ht="50" customHeight="1" x14ac:dyDescent="0.2">
      <c r="D61" s="53"/>
    </row>
    <row r="63" spans="1:4" ht="19" x14ac:dyDescent="0.25">
      <c r="A63" s="5" t="s">
        <v>1429</v>
      </c>
    </row>
    <row r="64" spans="1:4" ht="19" x14ac:dyDescent="0.25">
      <c r="D64" s="243" t="s">
        <v>965</v>
      </c>
    </row>
    <row r="66" spans="1:4" ht="19" x14ac:dyDescent="0.25">
      <c r="A66" s="5" t="s">
        <v>1430</v>
      </c>
    </row>
    <row r="67" spans="1:4" ht="19" x14ac:dyDescent="0.25">
      <c r="D67" s="51" t="s">
        <v>2303</v>
      </c>
    </row>
    <row r="69" spans="1:4" ht="19" x14ac:dyDescent="0.25">
      <c r="A69" s="5" t="s">
        <v>1431</v>
      </c>
    </row>
    <row r="70" spans="1:4" ht="19" x14ac:dyDescent="0.25">
      <c r="D70" s="51" t="s">
        <v>950</v>
      </c>
    </row>
    <row r="72" spans="1:4" ht="16" customHeight="1" x14ac:dyDescent="0.2">
      <c r="A72" s="10" t="s">
        <v>1432</v>
      </c>
      <c r="D72" s="7"/>
    </row>
    <row r="73" spans="1:4" ht="227" customHeight="1" x14ac:dyDescent="0.2">
      <c r="D73" s="15"/>
    </row>
    <row r="74" spans="1:4" ht="39" customHeight="1" x14ac:dyDescent="0.2">
      <c r="D74" s="20"/>
    </row>
    <row r="75" spans="1:4" ht="19" x14ac:dyDescent="0.25">
      <c r="A75" s="5" t="s">
        <v>1433</v>
      </c>
    </row>
    <row r="76" spans="1:4" ht="19" x14ac:dyDescent="0.25">
      <c r="A76" s="5"/>
    </row>
    <row r="77" spans="1:4" ht="19" x14ac:dyDescent="0.25">
      <c r="A77" s="5"/>
      <c r="B77" s="12"/>
      <c r="C77" s="52"/>
      <c r="D77" s="52"/>
    </row>
    <row r="78" spans="1:4" ht="19" x14ac:dyDescent="0.25">
      <c r="A78" s="5"/>
      <c r="B78" s="12" t="s">
        <v>1434</v>
      </c>
      <c r="C78" s="52"/>
      <c r="D78" s="52" t="s">
        <v>1435</v>
      </c>
    </row>
    <row r="79" spans="1:4" ht="19" x14ac:dyDescent="0.25">
      <c r="A79" s="5"/>
      <c r="B79" s="12"/>
      <c r="C79" s="52"/>
      <c r="D79" s="52"/>
    </row>
    <row r="80" spans="1:4" ht="19" x14ac:dyDescent="0.25">
      <c r="A80" s="5"/>
      <c r="B80" s="12" t="s">
        <v>1436</v>
      </c>
      <c r="C80" s="52"/>
      <c r="D80" s="52" t="s">
        <v>1437</v>
      </c>
    </row>
    <row r="81" spans="1:4" ht="19" x14ac:dyDescent="0.25">
      <c r="A81" s="5"/>
      <c r="B81" s="12"/>
      <c r="C81" s="52"/>
      <c r="D81" s="52"/>
    </row>
    <row r="82" spans="1:4" ht="19" x14ac:dyDescent="0.25">
      <c r="A82" s="5"/>
      <c r="B82" s="12" t="s">
        <v>1438</v>
      </c>
      <c r="C82" s="52"/>
      <c r="D82" s="52" t="s">
        <v>1439</v>
      </c>
    </row>
    <row r="83" spans="1:4" ht="19" x14ac:dyDescent="0.25">
      <c r="A83" s="5"/>
      <c r="B83" s="12"/>
      <c r="C83" s="52"/>
      <c r="D83" s="52"/>
    </row>
    <row r="84" spans="1:4" ht="19" x14ac:dyDescent="0.25">
      <c r="A84" s="5"/>
      <c r="B84" s="12" t="s">
        <v>1440</v>
      </c>
      <c r="C84" s="52"/>
      <c r="D84" s="52" t="s">
        <v>1441</v>
      </c>
    </row>
    <row r="85" spans="1:4" ht="19" x14ac:dyDescent="0.25">
      <c r="A85" s="5"/>
      <c r="B85" s="12"/>
      <c r="C85" s="52"/>
      <c r="D85" s="52"/>
    </row>
    <row r="86" spans="1:4" ht="19" x14ac:dyDescent="0.25">
      <c r="A86" s="5"/>
      <c r="B86" s="12" t="s">
        <v>1442</v>
      </c>
      <c r="C86" s="52"/>
      <c r="D86" s="52" t="s">
        <v>1443</v>
      </c>
    </row>
    <row r="87" spans="1:4" ht="19" x14ac:dyDescent="0.25">
      <c r="A87" s="5"/>
      <c r="B87" s="12"/>
      <c r="C87" s="52"/>
      <c r="D87" s="52"/>
    </row>
    <row r="88" spans="1:4" ht="19" x14ac:dyDescent="0.25">
      <c r="A88" s="5"/>
      <c r="B88" s="12" t="s">
        <v>1444</v>
      </c>
      <c r="C88" s="52"/>
      <c r="D88" s="52"/>
    </row>
    <row r="89" spans="1:4" ht="19" x14ac:dyDescent="0.25">
      <c r="A89" s="5"/>
    </row>
    <row r="90" spans="1:4" ht="19" x14ac:dyDescent="0.25">
      <c r="A90" s="5"/>
      <c r="B90" s="12" t="s">
        <v>1445</v>
      </c>
      <c r="C90" s="52"/>
      <c r="D90" s="52"/>
    </row>
    <row r="91" spans="1:4" ht="19" x14ac:dyDescent="0.25">
      <c r="A91" s="5"/>
    </row>
    <row r="92" spans="1:4" ht="19" x14ac:dyDescent="0.25">
      <c r="A92" s="5"/>
      <c r="B92" s="12"/>
      <c r="C92" s="52"/>
      <c r="D92" s="52"/>
    </row>
    <row r="93" spans="1:4" ht="19" x14ac:dyDescent="0.25">
      <c r="A93" s="85"/>
      <c r="B93" s="12"/>
    </row>
    <row r="94" spans="1:4" ht="19" x14ac:dyDescent="0.25">
      <c r="A94" s="5" t="s">
        <v>1446</v>
      </c>
    </row>
    <row r="95" spans="1:4" x14ac:dyDescent="0.2">
      <c r="A95" t="s">
        <v>1447</v>
      </c>
    </row>
    <row r="96" spans="1:4" ht="18" customHeight="1" x14ac:dyDescent="0.2">
      <c r="D96" s="58" t="s">
        <v>2345</v>
      </c>
    </row>
    <row r="97" spans="1:5" ht="18" customHeight="1" x14ac:dyDescent="0.2">
      <c r="D97" s="88"/>
    </row>
    <row r="98" spans="1:5" ht="19" x14ac:dyDescent="0.25">
      <c r="A98" s="287" t="s">
        <v>1448</v>
      </c>
      <c r="B98" s="287"/>
      <c r="C98" s="287"/>
      <c r="D98" s="287"/>
      <c r="E98" s="287"/>
    </row>
  </sheetData>
  <sheetProtection algorithmName="SHA-512" hashValue="x8lWpl2boj3WBNbR3xQ1OXEBQ6jAYLvxwL9diwyvzbnYvHsybxiQEqHDLVDV35xdPnFIb/4caRc9jFiKdg8j8g==" saltValue="ZWUmOaqViONozZDWz0z56w==" spinCount="100000" sheet="1" formatColumns="0" formatRows="0" selectLockedCells="1"/>
  <mergeCells count="16">
    <mergeCell ref="A98:E98"/>
    <mergeCell ref="A26:D29"/>
    <mergeCell ref="B13:C13"/>
    <mergeCell ref="B14:C14"/>
    <mergeCell ref="B16:C16"/>
    <mergeCell ref="B17:C17"/>
    <mergeCell ref="B15:C15"/>
    <mergeCell ref="B9:C9"/>
    <mergeCell ref="B10:C10"/>
    <mergeCell ref="B11:C11"/>
    <mergeCell ref="B12:C12"/>
    <mergeCell ref="A1:E1"/>
    <mergeCell ref="B5:C5"/>
    <mergeCell ref="B6:C6"/>
    <mergeCell ref="B7:C7"/>
    <mergeCell ref="B8:C8"/>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pageMargins left="0.7" right="0.7" top="0.75" bottom="0.75" header="0.3" footer="0.3"/>
  <pageSetup orientation="landscape" horizontalDpi="0" verticalDpi="0"/>
  <headerFooter>
    <oddHeader xml:space="preserve">&amp;C 
</oddHeader>
    <oddFooter xml:space="preserve">&amp;C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5641" r:id="rId3" name="Check Box 41">
              <controlPr locked="0" defaultSize="0" autoFill="0" autoLine="0" autoPict="0">
                <anchor moveWithCells="1">
                  <from>
                    <xdr:col>0</xdr:col>
                    <xdr:colOff>571500</xdr:colOff>
                    <xdr:row>76</xdr:row>
                    <xdr:rowOff>177800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4" name="Check Box 42">
              <controlPr locked="0" defaultSize="0" autoFill="0" autoLine="0" autoPict="0">
                <anchor moveWithCells="1">
                  <from>
                    <xdr:col>0</xdr:col>
                    <xdr:colOff>558800</xdr:colOff>
                    <xdr:row>78</xdr:row>
                    <xdr:rowOff>177800</xdr:rowOff>
                  </from>
                  <to>
                    <xdr:col>1</xdr:col>
                    <xdr:colOff>1244600</xdr:colOff>
                    <xdr:row>80</xdr:row>
                    <xdr:rowOff>76200</xdr:rowOff>
                  </to>
                </anchor>
              </controlPr>
            </control>
          </mc:Choice>
        </mc:AlternateContent>
        <mc:AlternateContent xmlns:mc="http://schemas.openxmlformats.org/markup-compatibility/2006">
          <mc:Choice Requires="x14">
            <control shapeId="25643" r:id="rId5" name="Check Box 43">
              <controlPr locked="0" defaultSize="0" autoFill="0" autoLine="0" autoPict="0">
                <anchor moveWithCells="1">
                  <from>
                    <xdr:col>0</xdr:col>
                    <xdr:colOff>558800</xdr:colOff>
                    <xdr:row>80</xdr:row>
                    <xdr:rowOff>177800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6" name="Check Box 44">
              <controlPr locked="0" defaultSize="0" autoFill="0" autoLine="0" autoPict="0">
                <anchor moveWithCells="1">
                  <from>
                    <xdr:col>0</xdr:col>
                    <xdr:colOff>558800</xdr:colOff>
                    <xdr:row>82</xdr:row>
                    <xdr:rowOff>177800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7" name="Check Box 45">
              <controlPr locked="0" defaultSize="0" autoFill="0" autoLine="0" autoPict="0">
                <anchor moveWithCells="1">
                  <from>
                    <xdr:col>0</xdr:col>
                    <xdr:colOff>558800</xdr:colOff>
                    <xdr:row>84</xdr:row>
                    <xdr:rowOff>190500</xdr:rowOff>
                  </from>
                  <to>
                    <xdr:col>1</xdr:col>
                    <xdr:colOff>1257300</xdr:colOff>
                    <xdr:row>86</xdr:row>
                    <xdr:rowOff>88900</xdr:rowOff>
                  </to>
                </anchor>
              </controlPr>
            </control>
          </mc:Choice>
        </mc:AlternateContent>
        <mc:AlternateContent xmlns:mc="http://schemas.openxmlformats.org/markup-compatibility/2006">
          <mc:Choice Requires="x14">
            <control shapeId="25646" r:id="rId8" name="Check Box 46">
              <controlPr locked="0" defaultSize="0" autoFill="0" autoLine="0" autoPict="0">
                <anchor moveWithCells="1">
                  <from>
                    <xdr:col>0</xdr:col>
                    <xdr:colOff>558800</xdr:colOff>
                    <xdr:row>86</xdr:row>
                    <xdr:rowOff>177800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9" name="Check Box 47">
              <controlPr locked="0" defaultSize="0" autoFill="0" autoLine="0" autoPict="0">
                <anchor moveWithCells="1">
                  <from>
                    <xdr:col>0</xdr:col>
                    <xdr:colOff>558800</xdr:colOff>
                    <xdr:row>88</xdr:row>
                    <xdr:rowOff>165100</xdr:rowOff>
                  </from>
                  <to>
                    <xdr:col>1</xdr:col>
                    <xdr:colOff>1257300</xdr:colOff>
                    <xdr:row>90</xdr:row>
                    <xdr:rowOff>63500</xdr:rowOff>
                  </to>
                </anchor>
              </controlPr>
            </control>
          </mc:Choice>
        </mc:AlternateContent>
        <mc:AlternateContent xmlns:mc="http://schemas.openxmlformats.org/markup-compatibility/2006">
          <mc:Choice Requires="x14">
            <control shapeId="25648" r:id="rId10" name="Check Box 48">
              <controlPr locked="0" defaultSize="0" autoFill="0" autoLine="0" autoPict="0">
                <anchor moveWithCells="1">
                  <from>
                    <xdr:col>2</xdr:col>
                    <xdr:colOff>1079500</xdr:colOff>
                    <xdr:row>76</xdr:row>
                    <xdr:rowOff>177800</xdr:rowOff>
                  </from>
                  <to>
                    <xdr:col>3</xdr:col>
                    <xdr:colOff>1257300</xdr:colOff>
                    <xdr:row>78</xdr:row>
                    <xdr:rowOff>63500</xdr:rowOff>
                  </to>
                </anchor>
              </controlPr>
            </control>
          </mc:Choice>
        </mc:AlternateContent>
        <mc:AlternateContent xmlns:mc="http://schemas.openxmlformats.org/markup-compatibility/2006">
          <mc:Choice Requires="x14">
            <control shapeId="25649" r:id="rId11" name="Check Box 49">
              <controlPr locked="0" defaultSize="0" autoFill="0" autoLine="0" autoPict="0">
                <anchor moveWithCells="1">
                  <from>
                    <xdr:col>2</xdr:col>
                    <xdr:colOff>1079500</xdr:colOff>
                    <xdr:row>78</xdr:row>
                    <xdr:rowOff>165100</xdr:rowOff>
                  </from>
                  <to>
                    <xdr:col>3</xdr:col>
                    <xdr:colOff>1270000</xdr:colOff>
                    <xdr:row>80</xdr:row>
                    <xdr:rowOff>63500</xdr:rowOff>
                  </to>
                </anchor>
              </controlPr>
            </control>
          </mc:Choice>
        </mc:AlternateContent>
        <mc:AlternateContent xmlns:mc="http://schemas.openxmlformats.org/markup-compatibility/2006">
          <mc:Choice Requires="x14">
            <control shapeId="25650" r:id="rId12" name="Check Box 50">
              <controlPr locked="0" defaultSize="0" autoFill="0" autoLine="0" autoPict="0">
                <anchor moveWithCells="1">
                  <from>
                    <xdr:col>2</xdr:col>
                    <xdr:colOff>1079500</xdr:colOff>
                    <xdr:row>80</xdr:row>
                    <xdr:rowOff>165100</xdr:rowOff>
                  </from>
                  <to>
                    <xdr:col>3</xdr:col>
                    <xdr:colOff>2921000</xdr:colOff>
                    <xdr:row>82</xdr:row>
                    <xdr:rowOff>63500</xdr:rowOff>
                  </to>
                </anchor>
              </controlPr>
            </control>
          </mc:Choice>
        </mc:AlternateContent>
        <mc:AlternateContent xmlns:mc="http://schemas.openxmlformats.org/markup-compatibility/2006">
          <mc:Choice Requires="x14">
            <control shapeId="25651" r:id="rId13" name="Check Box 51">
              <controlPr locked="0" defaultSize="0" autoFill="0" autoLine="0" autoPict="0">
                <anchor moveWithCells="1">
                  <from>
                    <xdr:col>2</xdr:col>
                    <xdr:colOff>1079500</xdr:colOff>
                    <xdr:row>82</xdr:row>
                    <xdr:rowOff>165100</xdr:rowOff>
                  </from>
                  <to>
                    <xdr:col>3</xdr:col>
                    <xdr:colOff>2959100</xdr:colOff>
                    <xdr:row>84</xdr:row>
                    <xdr:rowOff>63500</xdr:rowOff>
                  </to>
                </anchor>
              </controlPr>
            </control>
          </mc:Choice>
        </mc:AlternateContent>
        <mc:AlternateContent xmlns:mc="http://schemas.openxmlformats.org/markup-compatibility/2006">
          <mc:Choice Requires="x14">
            <control shapeId="25652" r:id="rId14" name="Check Box 52">
              <controlPr locked="0" defaultSize="0" autoFill="0" autoLine="0" autoPict="0">
                <anchor moveWithCells="1">
                  <from>
                    <xdr:col>2</xdr:col>
                    <xdr:colOff>1066800</xdr:colOff>
                    <xdr:row>84</xdr:row>
                    <xdr:rowOff>152400</xdr:rowOff>
                  </from>
                  <to>
                    <xdr:col>3</xdr:col>
                    <xdr:colOff>3111500</xdr:colOff>
                    <xdr:row>86</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owColHeaders="0" tabSelected="1" showRuler="0" topLeftCell="A45" zoomScaleNormal="100" zoomScalePageLayoutView="110" workbookViewId="0">
      <selection activeCell="A5" sqref="A5:G5"/>
    </sheetView>
  </sheetViews>
  <sheetFormatPr baseColWidth="10" defaultColWidth="11" defaultRowHeight="16" x14ac:dyDescent="0.2"/>
  <cols>
    <col min="1" max="1" width="35.5" customWidth="1"/>
    <col min="2" max="2" width="11.5" customWidth="1"/>
    <col min="3" max="3" width="11.33203125" customWidth="1"/>
    <col min="4" max="4" width="11" customWidth="1"/>
    <col min="5" max="5" width="11.83203125" customWidth="1"/>
    <col min="6" max="6" width="11.33203125" customWidth="1"/>
    <col min="7" max="7" width="10.1640625" customWidth="1"/>
  </cols>
  <sheetData>
    <row r="1" spans="1:7" ht="19" x14ac:dyDescent="0.25">
      <c r="A1" s="298" t="s">
        <v>1449</v>
      </c>
      <c r="B1" s="298"/>
      <c r="C1" s="298"/>
      <c r="D1" s="298"/>
      <c r="E1" s="298"/>
      <c r="F1" s="298"/>
      <c r="G1" s="298"/>
    </row>
    <row r="2" spans="1:7" ht="6" customHeight="1" x14ac:dyDescent="0.2"/>
    <row r="3" spans="1:7" ht="19" x14ac:dyDescent="0.25">
      <c r="A3" s="6" t="s">
        <v>1450</v>
      </c>
    </row>
    <row r="4" spans="1:7" s="4" customFormat="1" ht="109" customHeight="1" x14ac:dyDescent="0.2">
      <c r="A4" s="306" t="s">
        <v>1451</v>
      </c>
      <c r="B4" s="306"/>
      <c r="C4" s="306"/>
      <c r="D4" s="306"/>
      <c r="E4" s="306"/>
      <c r="F4" s="306"/>
      <c r="G4" s="306"/>
    </row>
    <row r="5" spans="1:7" s="4" customFormat="1" x14ac:dyDescent="0.2">
      <c r="A5" s="299" t="s">
        <v>1452</v>
      </c>
      <c r="B5" s="299"/>
      <c r="C5" s="299"/>
      <c r="D5" s="299"/>
      <c r="E5" s="299"/>
      <c r="F5" s="299"/>
      <c r="G5" s="299"/>
    </row>
    <row r="6" spans="1:7" x14ac:dyDescent="0.2">
      <c r="A6" s="218"/>
    </row>
    <row r="7" spans="1:7" x14ac:dyDescent="0.2">
      <c r="A7" s="18"/>
      <c r="B7" s="304" t="s">
        <v>1453</v>
      </c>
      <c r="C7" s="305"/>
      <c r="D7" s="304" t="s">
        <v>1454</v>
      </c>
      <c r="E7" s="305"/>
      <c r="F7" s="304" t="s">
        <v>1455</v>
      </c>
      <c r="G7" s="305"/>
    </row>
    <row r="8" spans="1:7" s="20" customFormat="1" ht="34" x14ac:dyDescent="0.2">
      <c r="A8" s="19"/>
      <c r="B8" s="21" t="s">
        <v>1456</v>
      </c>
      <c r="C8" s="21" t="s">
        <v>1457</v>
      </c>
      <c r="D8" s="21" t="s">
        <v>1456</v>
      </c>
      <c r="E8" s="21" t="s">
        <v>1457</v>
      </c>
      <c r="F8" s="21" t="s">
        <v>1456</v>
      </c>
      <c r="G8" s="21" t="s">
        <v>1457</v>
      </c>
    </row>
    <row r="9" spans="1:7" x14ac:dyDescent="0.2">
      <c r="A9" s="219"/>
      <c r="B9" s="302" t="s">
        <v>1458</v>
      </c>
      <c r="C9" s="302"/>
      <c r="D9" s="302"/>
      <c r="E9" s="302"/>
      <c r="F9" s="302"/>
      <c r="G9" s="303"/>
    </row>
    <row r="10" spans="1:7" ht="46" customHeight="1" x14ac:dyDescent="0.2">
      <c r="A10" s="220" t="s">
        <v>1459</v>
      </c>
      <c r="B10" s="93">
        <v>141</v>
      </c>
      <c r="C10" s="93">
        <v>0</v>
      </c>
      <c r="D10" s="93">
        <v>140</v>
      </c>
      <c r="E10" s="93">
        <v>0</v>
      </c>
      <c r="F10" s="93">
        <v>1</v>
      </c>
      <c r="G10" s="93">
        <v>0</v>
      </c>
    </row>
    <row r="11" spans="1:7" ht="46" customHeight="1" x14ac:dyDescent="0.2">
      <c r="A11" s="220" t="s">
        <v>1460</v>
      </c>
      <c r="B11" s="93">
        <v>15</v>
      </c>
      <c r="C11" s="93">
        <v>1</v>
      </c>
      <c r="D11" s="93">
        <v>9</v>
      </c>
      <c r="E11" s="93">
        <v>0</v>
      </c>
      <c r="F11" s="93">
        <v>0</v>
      </c>
      <c r="G11" s="93">
        <v>0</v>
      </c>
    </row>
    <row r="12" spans="1:7" ht="46" customHeight="1" x14ac:dyDescent="0.2">
      <c r="A12" s="220" t="s">
        <v>1461</v>
      </c>
      <c r="B12" s="93">
        <v>404</v>
      </c>
      <c r="C12" s="93">
        <v>23</v>
      </c>
      <c r="D12" s="93">
        <v>442</v>
      </c>
      <c r="E12" s="93">
        <v>34</v>
      </c>
      <c r="F12" s="93">
        <v>1</v>
      </c>
      <c r="G12" s="93">
        <v>0</v>
      </c>
    </row>
    <row r="13" spans="1:7" ht="46" customHeight="1" x14ac:dyDescent="0.2">
      <c r="A13" s="221" t="s">
        <v>1462</v>
      </c>
      <c r="B13" s="222">
        <f>SUM(B10:B12)</f>
        <v>560</v>
      </c>
      <c r="C13" s="222">
        <f t="shared" ref="C13:G13" si="0">SUM(C10:C12)</f>
        <v>24</v>
      </c>
      <c r="D13" s="222">
        <f t="shared" si="0"/>
        <v>591</v>
      </c>
      <c r="E13" s="222">
        <f>SUM(E10:E12)</f>
        <v>34</v>
      </c>
      <c r="F13" s="222">
        <f t="shared" si="0"/>
        <v>2</v>
      </c>
      <c r="G13" s="222">
        <f t="shared" si="0"/>
        <v>0</v>
      </c>
    </row>
    <row r="14" spans="1:7" ht="46" customHeight="1" x14ac:dyDescent="0.2">
      <c r="A14" s="220" t="s">
        <v>1463</v>
      </c>
      <c r="B14" s="93">
        <v>1</v>
      </c>
      <c r="C14" s="93">
        <v>7</v>
      </c>
      <c r="D14" s="93">
        <v>1</v>
      </c>
      <c r="E14" s="93">
        <v>10</v>
      </c>
      <c r="F14" s="93">
        <v>0</v>
      </c>
      <c r="G14" s="93">
        <v>3</v>
      </c>
    </row>
    <row r="15" spans="1:7" ht="39" customHeight="1" x14ac:dyDescent="0.2">
      <c r="A15" s="221" t="s">
        <v>1464</v>
      </c>
      <c r="B15" s="222">
        <f t="shared" ref="B15:G15" si="1">SUM(B13+B14)</f>
        <v>561</v>
      </c>
      <c r="C15" s="222">
        <f t="shared" si="1"/>
        <v>31</v>
      </c>
      <c r="D15" s="222">
        <f t="shared" si="1"/>
        <v>592</v>
      </c>
      <c r="E15" s="222">
        <f t="shared" si="1"/>
        <v>44</v>
      </c>
      <c r="F15" s="222">
        <f t="shared" si="1"/>
        <v>2</v>
      </c>
      <c r="G15" s="222">
        <f t="shared" si="1"/>
        <v>3</v>
      </c>
    </row>
    <row r="16" spans="1:7" ht="34" customHeight="1" x14ac:dyDescent="0.2">
      <c r="A16" s="296" t="s">
        <v>1465</v>
      </c>
      <c r="B16" s="296"/>
      <c r="C16" s="296"/>
      <c r="D16" s="296"/>
      <c r="E16" s="223">
        <f>SUM(C13+E13+G13)</f>
        <v>58</v>
      </c>
      <c r="F16" s="224"/>
      <c r="G16" s="224"/>
    </row>
    <row r="17" spans="1:7" ht="34" customHeight="1" x14ac:dyDescent="0.2">
      <c r="A17" s="296" t="s">
        <v>1466</v>
      </c>
      <c r="B17" s="296"/>
      <c r="C17" s="296"/>
      <c r="D17" s="296"/>
      <c r="E17" s="223">
        <f>SUM(B13+D13+F13)</f>
        <v>1153</v>
      </c>
      <c r="F17" s="224"/>
      <c r="G17" s="224"/>
    </row>
    <row r="18" spans="1:7" ht="34" customHeight="1" x14ac:dyDescent="0.2">
      <c r="A18" s="296" t="s">
        <v>1467</v>
      </c>
      <c r="B18" s="296"/>
      <c r="C18" s="296"/>
      <c r="D18" s="296"/>
      <c r="E18" s="223">
        <f>SUM(B13:G13)</f>
        <v>1211</v>
      </c>
      <c r="F18" s="224"/>
      <c r="G18" s="224"/>
    </row>
    <row r="19" spans="1:7" ht="34" customHeight="1" x14ac:dyDescent="0.2">
      <c r="A19" s="296" t="s">
        <v>1468</v>
      </c>
      <c r="B19" s="296"/>
      <c r="C19" s="296"/>
      <c r="D19" s="296"/>
      <c r="E19" s="223">
        <f>(SUM(B15:G15))</f>
        <v>1233</v>
      </c>
      <c r="F19" s="224"/>
      <c r="G19" s="224"/>
    </row>
    <row r="20" spans="1:7" ht="20" customHeight="1" x14ac:dyDescent="0.2">
      <c r="A20" s="225"/>
      <c r="B20" s="224"/>
      <c r="C20" s="224"/>
      <c r="D20" s="224"/>
      <c r="E20" s="224"/>
      <c r="F20" s="224"/>
      <c r="G20" s="224"/>
    </row>
    <row r="21" spans="1:7" x14ac:dyDescent="0.2">
      <c r="A21" s="18"/>
      <c r="B21" s="304" t="s">
        <v>1453</v>
      </c>
      <c r="C21" s="305"/>
      <c r="D21" s="304" t="s">
        <v>1454</v>
      </c>
      <c r="E21" s="305"/>
      <c r="F21" s="304" t="s">
        <v>1455</v>
      </c>
      <c r="G21" s="305"/>
    </row>
    <row r="22" spans="1:7" ht="49" customHeight="1" x14ac:dyDescent="0.2">
      <c r="A22" s="19"/>
      <c r="B22" s="21" t="s">
        <v>1456</v>
      </c>
      <c r="C22" s="21" t="s">
        <v>1457</v>
      </c>
      <c r="D22" s="21" t="s">
        <v>1456</v>
      </c>
      <c r="E22" s="21" t="s">
        <v>1457</v>
      </c>
      <c r="F22" s="21" t="s">
        <v>1456</v>
      </c>
      <c r="G22" s="21" t="s">
        <v>1457</v>
      </c>
    </row>
    <row r="23" spans="1:7" ht="16" customHeight="1" x14ac:dyDescent="0.2">
      <c r="A23" s="226"/>
      <c r="B23" s="300" t="s">
        <v>1469</v>
      </c>
      <c r="C23" s="300"/>
      <c r="D23" s="300"/>
      <c r="E23" s="300"/>
      <c r="F23" s="300"/>
      <c r="G23" s="301"/>
    </row>
    <row r="24" spans="1:7" ht="33" customHeight="1" x14ac:dyDescent="0.2">
      <c r="A24" s="220" t="s">
        <v>1470</v>
      </c>
      <c r="B24" s="93">
        <v>0</v>
      </c>
      <c r="C24" s="93">
        <v>0</v>
      </c>
      <c r="D24" s="93">
        <v>0</v>
      </c>
      <c r="E24" s="93">
        <v>0</v>
      </c>
      <c r="F24" s="93">
        <v>0</v>
      </c>
      <c r="G24" s="93">
        <v>0</v>
      </c>
    </row>
    <row r="25" spans="1:7" ht="33" customHeight="1" x14ac:dyDescent="0.2">
      <c r="A25" s="220" t="s">
        <v>1471</v>
      </c>
      <c r="B25" s="93">
        <v>0</v>
      </c>
      <c r="C25" s="93">
        <v>0</v>
      </c>
      <c r="D25" s="93">
        <v>0</v>
      </c>
      <c r="E25" s="93">
        <v>0</v>
      </c>
      <c r="F25" s="93">
        <v>0</v>
      </c>
      <c r="G25" s="93">
        <v>0</v>
      </c>
    </row>
    <row r="26" spans="1:7" ht="33" customHeight="1" x14ac:dyDescent="0.2">
      <c r="A26" s="220" t="s">
        <v>1472</v>
      </c>
      <c r="B26" s="93"/>
      <c r="C26" s="93"/>
      <c r="D26" s="93"/>
      <c r="E26" s="93"/>
      <c r="F26" s="93"/>
      <c r="G26" s="93"/>
    </row>
    <row r="27" spans="1:7" ht="33" customHeight="1" x14ac:dyDescent="0.2">
      <c r="A27" s="221" t="s">
        <v>1473</v>
      </c>
      <c r="B27" s="222">
        <f>SUM(B24:B26)</f>
        <v>0</v>
      </c>
      <c r="C27" s="222">
        <f t="shared" ref="C27:G27" si="2">SUM(C24:C26)</f>
        <v>0</v>
      </c>
      <c r="D27" s="222">
        <f t="shared" si="2"/>
        <v>0</v>
      </c>
      <c r="E27" s="222">
        <f t="shared" si="2"/>
        <v>0</v>
      </c>
      <c r="F27" s="222">
        <f t="shared" si="2"/>
        <v>0</v>
      </c>
      <c r="G27" s="222">
        <f t="shared" si="2"/>
        <v>0</v>
      </c>
    </row>
    <row r="29" spans="1:7" ht="36" customHeight="1" x14ac:dyDescent="0.2">
      <c r="A29" s="296" t="s">
        <v>1474</v>
      </c>
      <c r="B29" s="296"/>
      <c r="C29" s="296"/>
      <c r="D29" s="296"/>
      <c r="E29" s="223" cm="1">
        <f t="array" ref="E29">SUM(C24:C25+E24:E25+G24:G25)</f>
        <v>0</v>
      </c>
    </row>
    <row r="30" spans="1:7" ht="36" customHeight="1" x14ac:dyDescent="0.2">
      <c r="A30" s="296" t="s">
        <v>1475</v>
      </c>
      <c r="B30" s="296"/>
      <c r="C30" s="296"/>
      <c r="D30" s="296"/>
      <c r="E30" s="223" cm="1">
        <f t="array" ref="E30">SUM(B24:B25+D24:D25+F24:F25)</f>
        <v>0</v>
      </c>
    </row>
    <row r="31" spans="1:7" ht="36" customHeight="1" x14ac:dyDescent="0.2">
      <c r="A31" s="296" t="s">
        <v>1476</v>
      </c>
      <c r="B31" s="296"/>
      <c r="C31" s="296"/>
      <c r="D31" s="296"/>
      <c r="E31" s="223">
        <f>SUM(B24:G25)</f>
        <v>0</v>
      </c>
    </row>
    <row r="32" spans="1:7" ht="36" customHeight="1" x14ac:dyDescent="0.2">
      <c r="A32" s="296" t="s">
        <v>1477</v>
      </c>
      <c r="B32" s="296"/>
      <c r="C32" s="296"/>
      <c r="D32" s="296"/>
      <c r="E32" s="223">
        <f>SUM(B27:G27)</f>
        <v>0</v>
      </c>
    </row>
    <row r="33" spans="1:7" ht="19" x14ac:dyDescent="0.25">
      <c r="A33" s="6" t="s">
        <v>1478</v>
      </c>
    </row>
    <row r="34" spans="1:7" ht="10" customHeight="1" x14ac:dyDescent="0.2"/>
    <row r="35" spans="1:7" ht="31" customHeight="1" x14ac:dyDescent="0.2">
      <c r="A35" s="297" t="s">
        <v>1479</v>
      </c>
      <c r="B35" s="297"/>
      <c r="C35" s="297"/>
      <c r="D35" s="297"/>
      <c r="E35" s="297"/>
      <c r="F35" s="297"/>
      <c r="G35" s="297"/>
    </row>
    <row r="36" spans="1:7" ht="7" customHeight="1" x14ac:dyDescent="0.2">
      <c r="A36" s="294"/>
      <c r="B36" s="294"/>
      <c r="C36" s="294"/>
      <c r="D36" s="294"/>
      <c r="E36" s="294"/>
      <c r="F36" s="294"/>
      <c r="G36" s="294"/>
    </row>
    <row r="37" spans="1:7" ht="29" customHeight="1" x14ac:dyDescent="0.2">
      <c r="A37" s="294" t="s">
        <v>1480</v>
      </c>
      <c r="B37" s="294"/>
      <c r="C37" s="294"/>
      <c r="D37" s="294"/>
      <c r="E37" s="294"/>
      <c r="F37" s="294"/>
      <c r="G37" s="294"/>
    </row>
    <row r="38" spans="1:7" ht="30" customHeight="1" x14ac:dyDescent="0.2">
      <c r="A38" s="295" t="s">
        <v>1481</v>
      </c>
      <c r="B38" s="295"/>
      <c r="C38" s="295"/>
      <c r="D38" s="295"/>
      <c r="E38" s="295"/>
      <c r="F38" s="295"/>
      <c r="G38" s="295"/>
    </row>
    <row r="39" spans="1:7" ht="40" customHeight="1" x14ac:dyDescent="0.2">
      <c r="A39" s="294" t="s">
        <v>1482</v>
      </c>
      <c r="B39" s="294"/>
      <c r="C39" s="294"/>
      <c r="D39" s="294"/>
      <c r="E39" s="294"/>
      <c r="F39" s="294"/>
      <c r="G39" s="294"/>
    </row>
    <row r="40" spans="1:7" ht="63" customHeight="1" x14ac:dyDescent="0.2">
      <c r="A40" s="294" t="s">
        <v>1483</v>
      </c>
      <c r="B40" s="294"/>
      <c r="C40" s="294"/>
      <c r="D40" s="294"/>
      <c r="E40" s="294"/>
      <c r="F40" s="294"/>
      <c r="G40" s="294"/>
    </row>
    <row r="41" spans="1:7" ht="46" customHeight="1" x14ac:dyDescent="0.2">
      <c r="A41" s="291" t="s">
        <v>1484</v>
      </c>
      <c r="B41" s="291"/>
      <c r="C41" s="291"/>
      <c r="D41" s="291"/>
      <c r="E41" s="291"/>
      <c r="F41" s="291"/>
      <c r="G41" s="291"/>
    </row>
    <row r="42" spans="1:7" ht="64" customHeight="1" x14ac:dyDescent="0.2">
      <c r="A42" s="291" t="s">
        <v>1485</v>
      </c>
      <c r="B42" s="291"/>
      <c r="C42" s="291"/>
      <c r="D42" s="291"/>
      <c r="E42" s="291"/>
      <c r="F42" s="291"/>
      <c r="G42" s="291"/>
    </row>
    <row r="43" spans="1:7" ht="65" customHeight="1" x14ac:dyDescent="0.2">
      <c r="B43" s="292" t="s">
        <v>1486</v>
      </c>
      <c r="C43" s="293"/>
      <c r="D43" s="293" t="s">
        <v>1487</v>
      </c>
      <c r="E43" s="293"/>
      <c r="F43" s="293" t="s">
        <v>1488</v>
      </c>
      <c r="G43" s="293"/>
    </row>
    <row r="44" spans="1:7" ht="32.25" customHeight="1" x14ac:dyDescent="0.2">
      <c r="A44" s="227" t="s">
        <v>1489</v>
      </c>
      <c r="B44" s="228"/>
      <c r="C44" s="276">
        <v>17</v>
      </c>
      <c r="D44" s="228"/>
      <c r="E44" s="93">
        <v>63</v>
      </c>
      <c r="F44" s="16"/>
      <c r="G44" s="93">
        <v>73</v>
      </c>
    </row>
    <row r="45" spans="1:7" ht="32.25" customHeight="1" x14ac:dyDescent="0.2">
      <c r="A45" s="227" t="s">
        <v>1490</v>
      </c>
      <c r="B45" s="228"/>
      <c r="C45" s="276">
        <v>23</v>
      </c>
      <c r="D45" s="228"/>
      <c r="E45" s="93">
        <v>96</v>
      </c>
      <c r="F45" s="16"/>
      <c r="G45" s="93">
        <v>97</v>
      </c>
    </row>
    <row r="46" spans="1:7" ht="32.25" customHeight="1" x14ac:dyDescent="0.2">
      <c r="A46" s="227" t="s">
        <v>1491</v>
      </c>
      <c r="B46" s="228"/>
      <c r="C46" s="276">
        <v>31</v>
      </c>
      <c r="D46" s="228"/>
      <c r="E46" s="93">
        <v>97</v>
      </c>
      <c r="F46" s="16"/>
      <c r="G46" s="93">
        <v>97</v>
      </c>
    </row>
    <row r="47" spans="1:7" ht="32.25" customHeight="1" x14ac:dyDescent="0.2">
      <c r="A47" s="227" t="s">
        <v>1492</v>
      </c>
      <c r="B47" s="228"/>
      <c r="C47" s="276">
        <v>196</v>
      </c>
      <c r="D47" s="228"/>
      <c r="E47" s="93">
        <v>841</v>
      </c>
      <c r="F47" s="16"/>
      <c r="G47" s="93">
        <v>851</v>
      </c>
    </row>
    <row r="48" spans="1:7" ht="32.25" customHeight="1" x14ac:dyDescent="0.2">
      <c r="A48" s="227" t="s">
        <v>1493</v>
      </c>
      <c r="B48" s="228"/>
      <c r="C48" s="276">
        <v>0</v>
      </c>
      <c r="D48" s="228"/>
      <c r="E48" s="93">
        <v>1</v>
      </c>
      <c r="F48" s="16"/>
      <c r="G48" s="93">
        <v>1</v>
      </c>
    </row>
    <row r="49" spans="1:7" ht="32.25" customHeight="1" x14ac:dyDescent="0.2">
      <c r="A49" s="227" t="s">
        <v>1494</v>
      </c>
      <c r="B49" s="228"/>
      <c r="C49" s="276">
        <v>6</v>
      </c>
      <c r="D49" s="228"/>
      <c r="E49" s="93">
        <v>35</v>
      </c>
      <c r="F49" s="16"/>
      <c r="G49" s="93">
        <v>35</v>
      </c>
    </row>
    <row r="50" spans="1:7" ht="32.25" customHeight="1" x14ac:dyDescent="0.2">
      <c r="A50" s="227" t="s">
        <v>1495</v>
      </c>
      <c r="B50" s="228"/>
      <c r="C50" s="276">
        <v>0</v>
      </c>
      <c r="D50" s="228"/>
      <c r="E50" s="93">
        <v>0</v>
      </c>
      <c r="F50" s="16"/>
      <c r="G50" s="93">
        <v>0</v>
      </c>
    </row>
    <row r="51" spans="1:7" ht="32.25" customHeight="1" x14ac:dyDescent="0.2">
      <c r="A51" s="227" t="s">
        <v>1496</v>
      </c>
      <c r="B51" s="228"/>
      <c r="C51" s="276">
        <v>9</v>
      </c>
      <c r="D51" s="228"/>
      <c r="E51" s="93">
        <v>51</v>
      </c>
      <c r="F51" s="16"/>
      <c r="G51" s="93">
        <v>51</v>
      </c>
    </row>
    <row r="52" spans="1:7" ht="32.25" customHeight="1" x14ac:dyDescent="0.2">
      <c r="A52" s="227" t="s">
        <v>1497</v>
      </c>
      <c r="B52" s="228"/>
      <c r="C52" s="276">
        <v>0</v>
      </c>
      <c r="D52" s="228"/>
      <c r="E52" s="93">
        <v>27</v>
      </c>
      <c r="F52" s="16"/>
      <c r="G52" s="93">
        <v>28</v>
      </c>
    </row>
    <row r="53" spans="1:7" ht="32.25" customHeight="1" x14ac:dyDescent="0.2">
      <c r="A53" s="225" t="s">
        <v>1498</v>
      </c>
      <c r="B53" s="228"/>
      <c r="C53" s="229">
        <f>SUM(C44:C52)</f>
        <v>282</v>
      </c>
      <c r="D53" s="228"/>
      <c r="E53" s="206">
        <f>SUM(E44:E52)</f>
        <v>1211</v>
      </c>
      <c r="F53" s="17"/>
      <c r="G53" s="206">
        <f>SUM(G44:G52)</f>
        <v>1233</v>
      </c>
    </row>
    <row r="54" spans="1:7" ht="14" customHeight="1" x14ac:dyDescent="0.2">
      <c r="A54" s="225"/>
      <c r="B54" s="228"/>
      <c r="C54" s="228"/>
      <c r="D54" s="228"/>
      <c r="E54" s="17"/>
      <c r="F54" s="17"/>
      <c r="G54" s="48"/>
    </row>
    <row r="55" spans="1:7" ht="19" x14ac:dyDescent="0.25">
      <c r="A55" s="6" t="s">
        <v>1499</v>
      </c>
    </row>
    <row r="56" spans="1:7" ht="23" customHeight="1" x14ac:dyDescent="0.2">
      <c r="A56" s="230" t="s">
        <v>1500</v>
      </c>
    </row>
    <row r="57" spans="1:7" ht="12" customHeight="1" x14ac:dyDescent="0.2">
      <c r="A57" s="231"/>
      <c r="B57" s="231"/>
      <c r="C57" s="231"/>
      <c r="D57" s="232"/>
    </row>
    <row r="58" spans="1:7" ht="25" customHeight="1" x14ac:dyDescent="0.2">
      <c r="A58" s="233" t="s">
        <v>1501</v>
      </c>
      <c r="B58" s="91"/>
      <c r="C58" s="234"/>
      <c r="D58" s="321" t="s">
        <v>1502</v>
      </c>
      <c r="E58" s="321"/>
      <c r="F58" s="90"/>
    </row>
    <row r="59" spans="1:7" ht="25" customHeight="1" x14ac:dyDescent="0.2">
      <c r="A59" s="233"/>
      <c r="B59" s="236"/>
      <c r="C59" s="234"/>
      <c r="D59" s="235"/>
      <c r="E59" s="33"/>
    </row>
    <row r="60" spans="1:7" ht="25" customHeight="1" x14ac:dyDescent="0.2">
      <c r="A60" s="233" t="s">
        <v>1503</v>
      </c>
      <c r="B60" s="276">
        <v>369</v>
      </c>
      <c r="C60" s="234"/>
      <c r="D60" s="321" t="s">
        <v>1504</v>
      </c>
      <c r="E60" s="321"/>
      <c r="F60" s="94"/>
    </row>
    <row r="61" spans="1:7" ht="25" customHeight="1" x14ac:dyDescent="0.2">
      <c r="A61" s="233"/>
      <c r="B61" s="237"/>
      <c r="C61" s="234"/>
      <c r="D61" s="235"/>
      <c r="E61" s="235"/>
      <c r="F61" s="235"/>
    </row>
    <row r="62" spans="1:7" ht="25" customHeight="1" x14ac:dyDescent="0.2">
      <c r="A62" s="233" t="s">
        <v>1505</v>
      </c>
      <c r="B62" s="90"/>
      <c r="C62" s="234"/>
      <c r="D62" s="321" t="s">
        <v>1506</v>
      </c>
      <c r="E62" s="321"/>
      <c r="F62" s="94"/>
    </row>
    <row r="63" spans="1:7" ht="25" customHeight="1" x14ac:dyDescent="0.2">
      <c r="A63" s="233"/>
      <c r="B63" s="236"/>
      <c r="C63" s="234"/>
      <c r="D63" s="235"/>
      <c r="E63" s="33"/>
    </row>
    <row r="64" spans="1:7" ht="25" customHeight="1" x14ac:dyDescent="0.2">
      <c r="A64" s="233" t="s">
        <v>1507</v>
      </c>
      <c r="B64" s="90"/>
      <c r="C64" s="322" t="s">
        <v>1508</v>
      </c>
      <c r="D64" s="321"/>
      <c r="E64" s="321"/>
      <c r="F64" s="90"/>
    </row>
    <row r="65" spans="1:7" ht="25" customHeight="1" x14ac:dyDescent="0.2">
      <c r="A65" s="233"/>
      <c r="B65" s="236"/>
      <c r="C65" s="236"/>
      <c r="D65" s="238"/>
    </row>
    <row r="66" spans="1:7" ht="25" customHeight="1" x14ac:dyDescent="0.2">
      <c r="A66" s="233" t="s">
        <v>1509</v>
      </c>
      <c r="B66" s="90"/>
      <c r="C66" s="236"/>
      <c r="D66" s="238"/>
    </row>
    <row r="68" spans="1:7" ht="19" x14ac:dyDescent="0.25">
      <c r="A68" s="6" t="s">
        <v>1510</v>
      </c>
    </row>
    <row r="69" spans="1:7" ht="5" customHeight="1" x14ac:dyDescent="0.2">
      <c r="A69" s="1"/>
    </row>
    <row r="70" spans="1:7" ht="16" customHeight="1" x14ac:dyDescent="0.2">
      <c r="A70" s="308" t="s">
        <v>1511</v>
      </c>
      <c r="B70" s="308"/>
      <c r="C70" s="308"/>
      <c r="D70" s="308"/>
      <c r="E70" s="308"/>
      <c r="F70" s="308"/>
      <c r="G70" s="308"/>
    </row>
    <row r="71" spans="1:7" ht="7" customHeight="1" x14ac:dyDescent="0.2">
      <c r="A71" s="25"/>
    </row>
    <row r="72" spans="1:7" ht="37" customHeight="1" x14ac:dyDescent="0.2">
      <c r="A72" s="309" t="s">
        <v>1512</v>
      </c>
      <c r="B72" s="309"/>
      <c r="C72" s="309"/>
      <c r="D72" s="309"/>
      <c r="E72" s="309"/>
      <c r="F72" s="309"/>
      <c r="G72" s="309"/>
    </row>
    <row r="73" spans="1:7" ht="7" customHeight="1" x14ac:dyDescent="0.2">
      <c r="A73" s="239"/>
    </row>
    <row r="74" spans="1:7" ht="37" customHeight="1" x14ac:dyDescent="0.2">
      <c r="A74" s="310" t="s">
        <v>1513</v>
      </c>
      <c r="B74" s="310"/>
      <c r="C74" s="310"/>
      <c r="D74" s="310"/>
      <c r="E74" s="310"/>
      <c r="F74" s="310"/>
      <c r="G74" s="310"/>
    </row>
    <row r="75" spans="1:7" ht="115" customHeight="1" x14ac:dyDescent="0.2">
      <c r="A75" s="308" t="s">
        <v>1514</v>
      </c>
      <c r="B75" s="308"/>
      <c r="C75" s="308"/>
      <c r="D75" s="308"/>
      <c r="E75" s="308"/>
      <c r="F75" s="308"/>
      <c r="G75" s="308"/>
    </row>
    <row r="76" spans="1:7" s="13" customFormat="1" ht="14" customHeight="1" x14ac:dyDescent="0.2">
      <c r="A76" s="307"/>
      <c r="B76" s="307"/>
      <c r="C76" s="307"/>
      <c r="D76" s="307"/>
      <c r="E76" s="307"/>
      <c r="F76" s="307"/>
      <c r="G76" s="307"/>
    </row>
    <row r="77" spans="1:7" x14ac:dyDescent="0.2">
      <c r="A77" s="311" t="s">
        <v>1515</v>
      </c>
      <c r="B77" s="311"/>
      <c r="C77" s="311"/>
      <c r="D77" s="314" t="s">
        <v>1516</v>
      </c>
      <c r="E77" s="314"/>
      <c r="F77" s="314"/>
      <c r="G77" s="314"/>
    </row>
    <row r="78" spans="1:7" ht="132" customHeight="1" x14ac:dyDescent="0.2">
      <c r="A78" s="312"/>
      <c r="B78" s="312"/>
      <c r="C78" s="312"/>
      <c r="D78" s="21" t="s">
        <v>1517</v>
      </c>
      <c r="E78" s="21" t="s">
        <v>1518</v>
      </c>
      <c r="F78" s="21" t="s">
        <v>1519</v>
      </c>
      <c r="G78" s="26" t="s">
        <v>1498</v>
      </c>
    </row>
    <row r="79" spans="1:7" ht="60" customHeight="1" x14ac:dyDescent="0.2">
      <c r="A79" s="315" t="s">
        <v>1520</v>
      </c>
      <c r="B79" s="315"/>
      <c r="C79" s="315"/>
      <c r="D79" s="93">
        <v>180</v>
      </c>
      <c r="E79" s="93">
        <v>144</v>
      </c>
      <c r="F79" s="93">
        <v>157</v>
      </c>
      <c r="G79" s="240">
        <f>SUM(D79:F79)</f>
        <v>481</v>
      </c>
    </row>
    <row r="80" spans="1:7" ht="138" customHeight="1" x14ac:dyDescent="0.2">
      <c r="A80" s="313" t="s">
        <v>1521</v>
      </c>
      <c r="B80" s="313"/>
      <c r="C80" s="313"/>
      <c r="D80" s="93"/>
      <c r="E80" s="93"/>
      <c r="F80" s="93"/>
      <c r="G80" s="240">
        <f t="shared" ref="G80:G82" si="3">SUM(D80:F80)</f>
        <v>0</v>
      </c>
    </row>
    <row r="81" spans="1:7" ht="64" customHeight="1" x14ac:dyDescent="0.2">
      <c r="A81" s="315" t="s">
        <v>1522</v>
      </c>
      <c r="B81" s="315"/>
      <c r="C81" s="315"/>
      <c r="D81" s="240">
        <f>D79-D80</f>
        <v>180</v>
      </c>
      <c r="E81" s="240">
        <f t="shared" ref="E81:F81" si="4">E79-E80</f>
        <v>144</v>
      </c>
      <c r="F81" s="240">
        <f t="shared" si="4"/>
        <v>157</v>
      </c>
      <c r="G81" s="240">
        <f t="shared" si="3"/>
        <v>481</v>
      </c>
    </row>
    <row r="82" spans="1:7" ht="64" customHeight="1" x14ac:dyDescent="0.2">
      <c r="A82" s="315" t="s">
        <v>1523</v>
      </c>
      <c r="B82" s="315"/>
      <c r="C82" s="315"/>
      <c r="D82" s="93">
        <v>85</v>
      </c>
      <c r="E82" s="93">
        <v>92</v>
      </c>
      <c r="F82" s="93">
        <v>110</v>
      </c>
      <c r="G82" s="240">
        <f t="shared" si="3"/>
        <v>287</v>
      </c>
    </row>
    <row r="83" spans="1:7" ht="64" customHeight="1" x14ac:dyDescent="0.2">
      <c r="A83" s="315" t="s">
        <v>1524</v>
      </c>
      <c r="B83" s="315"/>
      <c r="C83" s="315"/>
      <c r="D83" s="93">
        <v>14</v>
      </c>
      <c r="E83" s="93">
        <v>7</v>
      </c>
      <c r="F83" s="93">
        <v>6</v>
      </c>
      <c r="G83" s="240">
        <f>SUM(D83:F83)</f>
        <v>27</v>
      </c>
    </row>
    <row r="84" spans="1:7" ht="64" customHeight="1" x14ac:dyDescent="0.2">
      <c r="A84" s="315" t="s">
        <v>1525</v>
      </c>
      <c r="B84" s="315"/>
      <c r="C84" s="315"/>
      <c r="D84" s="93">
        <v>2</v>
      </c>
      <c r="E84" s="93">
        <v>2</v>
      </c>
      <c r="F84" s="93">
        <v>2</v>
      </c>
      <c r="G84" s="240">
        <f>SUM(D84:F84)</f>
        <v>6</v>
      </c>
    </row>
    <row r="85" spans="1:7" ht="36" customHeight="1" x14ac:dyDescent="0.2">
      <c r="A85" s="316" t="s">
        <v>1526</v>
      </c>
      <c r="B85" s="316"/>
      <c r="C85" s="316"/>
      <c r="D85" s="240">
        <f>SUM(D82:D84)</f>
        <v>101</v>
      </c>
      <c r="E85" s="240">
        <f t="shared" ref="E85:G85" si="5">SUM(E82:E84)</f>
        <v>101</v>
      </c>
      <c r="F85" s="240">
        <f t="shared" si="5"/>
        <v>118</v>
      </c>
      <c r="G85" s="240">
        <f t="shared" si="5"/>
        <v>320</v>
      </c>
    </row>
    <row r="86" spans="1:7" ht="57.5" customHeight="1" x14ac:dyDescent="0.2">
      <c r="A86" s="316" t="s">
        <v>1527</v>
      </c>
      <c r="B86" s="316"/>
      <c r="C86" s="316"/>
      <c r="D86" s="244">
        <f>D85/D81</f>
        <v>0.56111111111111112</v>
      </c>
      <c r="E86" s="244">
        <f>E85/E81</f>
        <v>0.70138888888888884</v>
      </c>
      <c r="F86" s="244">
        <f>F85/F81</f>
        <v>0.75159235668789814</v>
      </c>
      <c r="G86" s="244">
        <f>G85/G81</f>
        <v>0.66528066528066532</v>
      </c>
    </row>
    <row r="87" spans="1:7" ht="13" customHeight="1" x14ac:dyDescent="0.2">
      <c r="A87" s="241"/>
      <c r="B87" s="241"/>
      <c r="C87" s="241"/>
      <c r="D87" s="101"/>
      <c r="E87" s="101"/>
      <c r="F87" s="101"/>
      <c r="G87" s="101"/>
    </row>
    <row r="88" spans="1:7" ht="16" customHeight="1" x14ac:dyDescent="0.2">
      <c r="A88" s="311" t="s">
        <v>1515</v>
      </c>
      <c r="B88" s="311"/>
      <c r="C88" s="311"/>
      <c r="D88" s="314" t="s">
        <v>1528</v>
      </c>
      <c r="E88" s="314"/>
      <c r="F88" s="314"/>
      <c r="G88" s="314"/>
    </row>
    <row r="89" spans="1:7" ht="126" customHeight="1" x14ac:dyDescent="0.2">
      <c r="A89" s="312"/>
      <c r="B89" s="312"/>
      <c r="C89" s="312"/>
      <c r="D89" s="21" t="s">
        <v>1517</v>
      </c>
      <c r="E89" s="21" t="s">
        <v>1518</v>
      </c>
      <c r="F89" s="21" t="s">
        <v>1519</v>
      </c>
      <c r="G89" s="26" t="s">
        <v>1498</v>
      </c>
    </row>
    <row r="90" spans="1:7" ht="49" customHeight="1" x14ac:dyDescent="0.2">
      <c r="A90" s="313" t="s">
        <v>1529</v>
      </c>
      <c r="B90" s="313"/>
      <c r="C90" s="313"/>
      <c r="D90" s="93">
        <v>202</v>
      </c>
      <c r="E90" s="93">
        <v>167</v>
      </c>
      <c r="F90" s="93">
        <v>182</v>
      </c>
      <c r="G90" s="240">
        <f>SUM(D90:F90)</f>
        <v>551</v>
      </c>
    </row>
    <row r="91" spans="1:7" ht="81" customHeight="1" x14ac:dyDescent="0.2">
      <c r="A91" s="313" t="s">
        <v>1530</v>
      </c>
      <c r="B91" s="313"/>
      <c r="C91" s="313"/>
      <c r="D91" s="93">
        <v>1</v>
      </c>
      <c r="E91" s="93">
        <v>0</v>
      </c>
      <c r="F91" s="93">
        <v>1</v>
      </c>
      <c r="G91" s="240">
        <f t="shared" ref="G91:G93" si="6">SUM(D91:F91)</f>
        <v>2</v>
      </c>
    </row>
    <row r="92" spans="1:7" ht="27" customHeight="1" x14ac:dyDescent="0.2">
      <c r="A92" s="313" t="s">
        <v>1531</v>
      </c>
      <c r="B92" s="313"/>
      <c r="C92" s="313"/>
      <c r="D92" s="240">
        <f>D90-D91</f>
        <v>201</v>
      </c>
      <c r="E92" s="240">
        <f t="shared" ref="E92:F92" si="7">E90-E91</f>
        <v>167</v>
      </c>
      <c r="F92" s="240">
        <f t="shared" si="7"/>
        <v>181</v>
      </c>
      <c r="G92" s="240">
        <f t="shared" si="6"/>
        <v>549</v>
      </c>
    </row>
    <row r="93" spans="1:7" ht="44" customHeight="1" x14ac:dyDescent="0.2">
      <c r="A93" s="313" t="s">
        <v>1532</v>
      </c>
      <c r="B93" s="313"/>
      <c r="C93" s="313"/>
      <c r="D93" s="93">
        <v>106</v>
      </c>
      <c r="E93" s="93">
        <v>103</v>
      </c>
      <c r="F93" s="93">
        <v>118</v>
      </c>
      <c r="G93" s="240">
        <f t="shared" si="6"/>
        <v>327</v>
      </c>
    </row>
    <row r="94" spans="1:7" ht="55" customHeight="1" x14ac:dyDescent="0.2">
      <c r="A94" s="313" t="s">
        <v>1533</v>
      </c>
      <c r="B94" s="313"/>
      <c r="C94" s="313"/>
      <c r="D94" s="93">
        <v>18</v>
      </c>
      <c r="E94" s="93">
        <v>8</v>
      </c>
      <c r="F94" s="93">
        <v>15</v>
      </c>
      <c r="G94" s="240">
        <f>SUM(D94:F94)</f>
        <v>41</v>
      </c>
    </row>
    <row r="95" spans="1:7" ht="55" customHeight="1" x14ac:dyDescent="0.2">
      <c r="A95" s="313" t="s">
        <v>1534</v>
      </c>
      <c r="B95" s="313"/>
      <c r="C95" s="313"/>
      <c r="D95" s="93">
        <v>1</v>
      </c>
      <c r="E95" s="93">
        <v>2</v>
      </c>
      <c r="F95" s="93">
        <v>1</v>
      </c>
      <c r="G95" s="240">
        <f>SUM(D95:F95)</f>
        <v>4</v>
      </c>
    </row>
    <row r="96" spans="1:7" ht="37" customHeight="1" x14ac:dyDescent="0.2">
      <c r="A96" s="325" t="s">
        <v>1526</v>
      </c>
      <c r="B96" s="325"/>
      <c r="C96" s="325"/>
      <c r="D96" s="240">
        <f>SUM(D93:D95)</f>
        <v>125</v>
      </c>
      <c r="E96" s="240">
        <f>SUM(E93:E95)</f>
        <v>113</v>
      </c>
      <c r="F96" s="240">
        <f>SUM(F93:F95)</f>
        <v>134</v>
      </c>
      <c r="G96" s="240">
        <f t="shared" ref="G96" si="8">SUM(G93:G95)</f>
        <v>372</v>
      </c>
    </row>
    <row r="97" spans="1:7" ht="39" customHeight="1" x14ac:dyDescent="0.2">
      <c r="A97" s="325" t="s">
        <v>1535</v>
      </c>
      <c r="B97" s="325"/>
      <c r="C97" s="325"/>
      <c r="D97" s="244">
        <f>D96/D92</f>
        <v>0.62189054726368154</v>
      </c>
      <c r="E97" s="244">
        <f>E96/E92</f>
        <v>0.67664670658682635</v>
      </c>
      <c r="F97" s="244">
        <f>F96/F92</f>
        <v>0.74033149171270718</v>
      </c>
      <c r="G97" s="244">
        <f>G96/G92</f>
        <v>0.67759562841530052</v>
      </c>
    </row>
    <row r="98" spans="1:7" ht="6" customHeight="1" x14ac:dyDescent="0.2">
      <c r="A98" s="241"/>
      <c r="B98" s="241"/>
      <c r="C98" s="241"/>
      <c r="D98" s="101"/>
      <c r="E98" s="101"/>
      <c r="F98" s="101"/>
      <c r="G98" s="101"/>
    </row>
    <row r="99" spans="1:7" x14ac:dyDescent="0.2">
      <c r="A99" s="324" t="s">
        <v>1536</v>
      </c>
      <c r="B99" s="324"/>
      <c r="C99" s="324"/>
      <c r="D99" s="324"/>
      <c r="E99" s="324"/>
      <c r="F99" s="101"/>
      <c r="G99" s="101"/>
    </row>
    <row r="100" spans="1:7" ht="8" customHeight="1" x14ac:dyDescent="0.2"/>
    <row r="101" spans="1:7" ht="37" customHeight="1" x14ac:dyDescent="0.2">
      <c r="A101" s="323" t="s">
        <v>1537</v>
      </c>
      <c r="B101" s="323"/>
      <c r="C101" s="323"/>
      <c r="D101" s="242" t="s">
        <v>253</v>
      </c>
      <c r="E101" s="242" t="s">
        <v>263</v>
      </c>
    </row>
    <row r="102" spans="1:7" ht="41.75" customHeight="1" x14ac:dyDescent="0.2">
      <c r="A102" s="317" t="s">
        <v>1538</v>
      </c>
      <c r="B102" s="319"/>
      <c r="C102" s="320"/>
      <c r="D102" s="94"/>
      <c r="E102" s="94"/>
    </row>
    <row r="103" spans="1:7" ht="84" customHeight="1" x14ac:dyDescent="0.2">
      <c r="A103" s="319" t="s">
        <v>1539</v>
      </c>
      <c r="B103" s="319"/>
      <c r="C103" s="320"/>
      <c r="D103" s="94"/>
      <c r="E103" s="94"/>
    </row>
    <row r="104" spans="1:7" ht="41.75" customHeight="1" x14ac:dyDescent="0.2">
      <c r="A104" s="319" t="s">
        <v>1540</v>
      </c>
      <c r="B104" s="319"/>
      <c r="C104" s="320"/>
      <c r="D104" s="245">
        <f>D102-D103</f>
        <v>0</v>
      </c>
      <c r="E104" s="245">
        <f>E102-E103</f>
        <v>0</v>
      </c>
    </row>
    <row r="105" spans="1:7" ht="41.75" customHeight="1" x14ac:dyDescent="0.2">
      <c r="A105" s="319" t="s">
        <v>1541</v>
      </c>
      <c r="B105" s="319"/>
      <c r="C105" s="320"/>
      <c r="D105" s="94"/>
      <c r="E105" s="94"/>
    </row>
    <row r="106" spans="1:7" ht="41.75" customHeight="1" x14ac:dyDescent="0.2">
      <c r="A106" s="317" t="s">
        <v>1542</v>
      </c>
      <c r="B106" s="317"/>
      <c r="C106" s="318"/>
      <c r="D106" s="94"/>
      <c r="E106" s="94"/>
    </row>
    <row r="107" spans="1:7" ht="41.75" customHeight="1" x14ac:dyDescent="0.2">
      <c r="A107" s="317" t="s">
        <v>1543</v>
      </c>
      <c r="B107" s="317"/>
      <c r="C107" s="318"/>
      <c r="D107" s="94"/>
      <c r="E107" s="94"/>
    </row>
    <row r="108" spans="1:7" ht="41.75" customHeight="1" x14ac:dyDescent="0.2">
      <c r="A108" s="317" t="s">
        <v>1544</v>
      </c>
      <c r="B108" s="317"/>
      <c r="C108" s="318"/>
      <c r="D108" s="94"/>
      <c r="E108" s="94"/>
    </row>
    <row r="109" spans="1:7" ht="41.75" customHeight="1" x14ac:dyDescent="0.2">
      <c r="A109" s="317" t="s">
        <v>1545</v>
      </c>
      <c r="B109" s="317"/>
      <c r="C109" s="318"/>
      <c r="D109" s="94"/>
      <c r="E109" s="94"/>
    </row>
    <row r="110" spans="1:7" ht="41.75" customHeight="1" x14ac:dyDescent="0.2">
      <c r="A110" s="317" t="s">
        <v>1546</v>
      </c>
      <c r="B110" s="317"/>
      <c r="C110" s="318"/>
      <c r="D110" s="94"/>
      <c r="E110" s="94"/>
    </row>
    <row r="111" spans="1:7" ht="41.75" customHeight="1" x14ac:dyDescent="0.2">
      <c r="A111" s="317" t="s">
        <v>1547</v>
      </c>
      <c r="B111" s="317"/>
      <c r="C111" s="318"/>
      <c r="D111" s="94"/>
      <c r="E111" s="94"/>
    </row>
    <row r="113" spans="1:7" ht="19" x14ac:dyDescent="0.25">
      <c r="A113" s="6" t="s">
        <v>1548</v>
      </c>
    </row>
    <row r="115" spans="1:7" ht="16" customHeight="1" x14ac:dyDescent="0.2">
      <c r="A115" s="288" t="s">
        <v>1549</v>
      </c>
      <c r="B115" s="288"/>
      <c r="C115" s="288"/>
      <c r="D115" s="288"/>
      <c r="E115" s="288"/>
      <c r="F115" s="288"/>
      <c r="G115" s="288"/>
    </row>
    <row r="116" spans="1:7" x14ac:dyDescent="0.2">
      <c r="A116" s="288"/>
      <c r="B116" s="288"/>
      <c r="C116" s="288"/>
      <c r="D116" s="288"/>
      <c r="E116" s="288"/>
      <c r="F116" s="288"/>
      <c r="G116" s="288"/>
    </row>
    <row r="117" spans="1:7" x14ac:dyDescent="0.2">
      <c r="A117" s="288"/>
      <c r="B117" s="288"/>
      <c r="C117" s="288"/>
      <c r="D117" s="288"/>
      <c r="E117" s="288"/>
      <c r="F117" s="288"/>
      <c r="G117" s="288"/>
    </row>
    <row r="118" spans="1:7" x14ac:dyDescent="0.2">
      <c r="A118" s="288"/>
      <c r="B118" s="288"/>
      <c r="C118" s="288"/>
      <c r="D118" s="288"/>
      <c r="E118" s="288"/>
      <c r="F118" s="288"/>
      <c r="G118" s="288"/>
    </row>
    <row r="119" spans="1:7" x14ac:dyDescent="0.2">
      <c r="A119" s="288"/>
      <c r="B119" s="288"/>
      <c r="C119" s="288"/>
      <c r="D119" s="288"/>
      <c r="E119" s="288"/>
      <c r="F119" s="288"/>
      <c r="G119" s="288"/>
    </row>
    <row r="120" spans="1:7" x14ac:dyDescent="0.2">
      <c r="A120" s="288"/>
      <c r="B120" s="288"/>
      <c r="C120" s="288"/>
      <c r="D120" s="288"/>
      <c r="E120" s="288"/>
      <c r="F120" s="288"/>
      <c r="G120" s="288"/>
    </row>
    <row r="121" spans="1:7" x14ac:dyDescent="0.2">
      <c r="A121" s="288"/>
      <c r="B121" s="288"/>
      <c r="C121" s="288"/>
      <c r="D121" s="288"/>
      <c r="E121" s="288"/>
      <c r="F121" s="288"/>
      <c r="G121" s="288"/>
    </row>
    <row r="122" spans="1:7" x14ac:dyDescent="0.2">
      <c r="A122" s="288"/>
      <c r="B122" s="288"/>
      <c r="C122" s="288"/>
      <c r="D122" s="288"/>
      <c r="E122" s="288"/>
      <c r="F122" s="288"/>
      <c r="G122" s="288"/>
    </row>
    <row r="123" spans="1:7" x14ac:dyDescent="0.2">
      <c r="A123" s="288"/>
      <c r="B123" s="288"/>
      <c r="C123" s="288"/>
      <c r="D123" s="288"/>
      <c r="E123" s="288"/>
      <c r="F123" s="288"/>
      <c r="G123" s="288"/>
    </row>
    <row r="124" spans="1:7" x14ac:dyDescent="0.2">
      <c r="A124" s="288"/>
      <c r="B124" s="288"/>
      <c r="C124" s="288"/>
      <c r="D124" s="288"/>
      <c r="E124" s="288"/>
      <c r="F124" s="288"/>
      <c r="G124" s="288"/>
    </row>
    <row r="125" spans="1:7" x14ac:dyDescent="0.2">
      <c r="A125" s="288"/>
      <c r="B125" s="288"/>
      <c r="C125" s="288"/>
      <c r="D125" s="288"/>
      <c r="E125" s="288"/>
      <c r="F125" s="288"/>
      <c r="G125" s="288"/>
    </row>
    <row r="126" spans="1:7" x14ac:dyDescent="0.2">
      <c r="A126" s="288"/>
      <c r="B126" s="288"/>
      <c r="C126" s="288"/>
      <c r="D126" s="288"/>
      <c r="E126" s="288"/>
      <c r="F126" s="288"/>
      <c r="G126" s="288"/>
    </row>
    <row r="127" spans="1:7" x14ac:dyDescent="0.2">
      <c r="A127" s="288"/>
      <c r="B127" s="288"/>
      <c r="C127" s="288"/>
      <c r="D127" s="288"/>
      <c r="E127" s="288"/>
      <c r="F127" s="288"/>
      <c r="G127" s="288"/>
    </row>
    <row r="128" spans="1:7" x14ac:dyDescent="0.2">
      <c r="A128" s="288"/>
      <c r="B128" s="288"/>
      <c r="C128" s="288"/>
      <c r="D128" s="288"/>
      <c r="E128" s="288"/>
      <c r="F128" s="288"/>
      <c r="G128" s="288"/>
    </row>
    <row r="129" spans="1:7" x14ac:dyDescent="0.2">
      <c r="A129" s="288"/>
      <c r="B129" s="288"/>
      <c r="C129" s="288"/>
      <c r="D129" s="288"/>
      <c r="E129" s="288"/>
      <c r="F129" s="288"/>
      <c r="G129" s="288"/>
    </row>
    <row r="130" spans="1:7" x14ac:dyDescent="0.2">
      <c r="A130" s="288"/>
      <c r="B130" s="288"/>
      <c r="C130" s="288"/>
      <c r="D130" s="288"/>
      <c r="E130" s="288"/>
      <c r="F130" s="288"/>
      <c r="G130" s="288"/>
    </row>
    <row r="131" spans="1:7" x14ac:dyDescent="0.2">
      <c r="A131" s="288"/>
      <c r="B131" s="288"/>
      <c r="C131" s="288"/>
      <c r="D131" s="288"/>
      <c r="E131" s="288"/>
      <c r="F131" s="288"/>
      <c r="G131" s="288"/>
    </row>
    <row r="132" spans="1:7" x14ac:dyDescent="0.2">
      <c r="A132" s="288"/>
      <c r="B132" s="288"/>
      <c r="C132" s="288"/>
      <c r="D132" s="288"/>
      <c r="E132" s="288"/>
      <c r="F132" s="288"/>
      <c r="G132" s="288"/>
    </row>
    <row r="133" spans="1:7" x14ac:dyDescent="0.2">
      <c r="A133" s="288"/>
      <c r="B133" s="288"/>
      <c r="C133" s="288"/>
      <c r="D133" s="288"/>
      <c r="E133" s="288"/>
      <c r="F133" s="288"/>
      <c r="G133" s="288"/>
    </row>
    <row r="134" spans="1:7" x14ac:dyDescent="0.2">
      <c r="A134" s="288"/>
      <c r="B134" s="288"/>
      <c r="C134" s="288"/>
      <c r="D134" s="288"/>
      <c r="E134" s="288"/>
      <c r="F134" s="288"/>
      <c r="G134" s="288"/>
    </row>
    <row r="135" spans="1:7" x14ac:dyDescent="0.2">
      <c r="A135" s="288"/>
      <c r="B135" s="288"/>
      <c r="C135" s="288"/>
      <c r="D135" s="288"/>
      <c r="E135" s="288"/>
      <c r="F135" s="288"/>
      <c r="G135" s="288"/>
    </row>
    <row r="136" spans="1:7" x14ac:dyDescent="0.2">
      <c r="A136" s="288"/>
      <c r="B136" s="288"/>
      <c r="C136" s="288"/>
      <c r="D136" s="288"/>
      <c r="E136" s="288"/>
      <c r="F136" s="288"/>
      <c r="G136" s="288"/>
    </row>
    <row r="137" spans="1:7" x14ac:dyDescent="0.2">
      <c r="A137" s="288"/>
      <c r="B137" s="288"/>
      <c r="C137" s="288"/>
      <c r="D137" s="288"/>
      <c r="E137" s="288"/>
      <c r="F137" s="288"/>
      <c r="G137" s="288"/>
    </row>
    <row r="138" spans="1:7" x14ac:dyDescent="0.2">
      <c r="A138" s="288"/>
      <c r="B138" s="288"/>
      <c r="C138" s="288"/>
      <c r="D138" s="288"/>
      <c r="E138" s="288"/>
      <c r="F138" s="288"/>
      <c r="G138" s="288"/>
    </row>
    <row r="139" spans="1:7" x14ac:dyDescent="0.2">
      <c r="A139" s="288"/>
      <c r="B139" s="288"/>
      <c r="C139" s="288"/>
      <c r="D139" s="288"/>
      <c r="E139" s="288"/>
      <c r="F139" s="288"/>
      <c r="G139" s="288"/>
    </row>
    <row r="140" spans="1:7" x14ac:dyDescent="0.2">
      <c r="A140" s="288"/>
      <c r="B140" s="288"/>
      <c r="C140" s="288"/>
      <c r="D140" s="288"/>
      <c r="E140" s="288"/>
      <c r="F140" s="288"/>
      <c r="G140" s="288"/>
    </row>
    <row r="142" spans="1:7" x14ac:dyDescent="0.2">
      <c r="A142" s="22" t="s">
        <v>1550</v>
      </c>
      <c r="B142" s="277">
        <v>0.85</v>
      </c>
    </row>
    <row r="145" spans="1:7" ht="19" x14ac:dyDescent="0.25">
      <c r="A145" s="287" t="s">
        <v>1551</v>
      </c>
      <c r="B145" s="287"/>
      <c r="C145" s="287"/>
      <c r="D145" s="287"/>
      <c r="E145" s="287"/>
      <c r="F145" s="287"/>
      <c r="G145" s="287"/>
    </row>
  </sheetData>
  <sheetProtection algorithmName="SHA-512" hashValue="aTMYlp/m3yOGybzTQDjvUFlzVkXmgaZ4xVClzcmEFDR3AHONXrMVDpNOhhl5nIUPF3/gy+54HTWO2MTkf9uuJw==" saltValue="mgtreBdICRIcuoPsxzWeyQ==" spinCount="100000" sheet="1" formatColumns="0" formatRows="0" selectLockedCells="1"/>
  <mergeCells count="73">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 ref="A115:G140"/>
    <mergeCell ref="A145:G145"/>
    <mergeCell ref="A108:C108"/>
    <mergeCell ref="A109:C109"/>
    <mergeCell ref="A110:C110"/>
    <mergeCell ref="A111:C111"/>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horizontalDpi="0" verticalDpi="0"/>
  <headerFooter>
    <oddHeader xml:space="preserve">&amp;C </oddHeader>
    <oddFooter xml:space="preserve">&amp;C 
</oddFooter>
  </headerFooter>
  <rowBreaks count="3" manualBreakCount="3">
    <brk id="67" max="16383" man="1"/>
    <brk id="87" max="16383" man="1"/>
    <brk id="98"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owColHeaders="0" showRuler="0" topLeftCell="A218" zoomScaleNormal="100" zoomScalePageLayoutView="110" workbookViewId="0">
      <selection activeCell="D164" sqref="B164:D164"/>
    </sheetView>
  </sheetViews>
  <sheetFormatPr baseColWidth="10" defaultColWidth="11" defaultRowHeight="16" x14ac:dyDescent="0.2"/>
  <cols>
    <col min="1" max="1" width="61.5" customWidth="1"/>
    <col min="2" max="5" width="13" customWidth="1"/>
    <col min="6" max="14" width="10.83203125" customWidth="1"/>
  </cols>
  <sheetData>
    <row r="1" spans="1:16" ht="19" x14ac:dyDescent="0.25">
      <c r="A1" s="285" t="s">
        <v>1552</v>
      </c>
      <c r="B1" s="285"/>
      <c r="C1" s="285"/>
      <c r="D1" s="285"/>
      <c r="E1" s="285"/>
      <c r="O1" s="8"/>
      <c r="P1" s="8"/>
    </row>
    <row r="2" spans="1:16" ht="19" x14ac:dyDescent="0.25">
      <c r="A2" s="5" t="s">
        <v>1553</v>
      </c>
      <c r="O2" s="8"/>
      <c r="P2" s="8"/>
    </row>
    <row r="3" spans="1:16" ht="275" customHeight="1" x14ac:dyDescent="0.2">
      <c r="A3" s="308" t="s">
        <v>1554</v>
      </c>
      <c r="B3" s="308"/>
      <c r="C3" s="308"/>
      <c r="D3" s="308"/>
      <c r="E3" s="308"/>
      <c r="O3" s="8"/>
      <c r="P3" s="8"/>
    </row>
    <row r="4" spans="1:16" x14ac:dyDescent="0.2">
      <c r="A4" s="112"/>
      <c r="B4" s="2"/>
      <c r="C4" s="16"/>
      <c r="D4" s="16"/>
      <c r="O4" s="8"/>
      <c r="P4" s="8"/>
    </row>
    <row r="5" spans="1:16" ht="34" customHeight="1" x14ac:dyDescent="0.2">
      <c r="A5" s="31"/>
      <c r="B5" s="113" t="s">
        <v>1453</v>
      </c>
      <c r="C5" s="24" t="s">
        <v>1454</v>
      </c>
      <c r="D5" s="24" t="s">
        <v>1455</v>
      </c>
      <c r="O5" s="8"/>
      <c r="P5" s="8"/>
    </row>
    <row r="6" spans="1:16" x14ac:dyDescent="0.2">
      <c r="A6" s="114" t="s">
        <v>1555</v>
      </c>
      <c r="B6" s="93">
        <v>2608</v>
      </c>
      <c r="C6" s="93">
        <v>2436</v>
      </c>
      <c r="D6" s="93">
        <v>1</v>
      </c>
      <c r="O6" s="8"/>
      <c r="P6" s="8"/>
    </row>
    <row r="7" spans="1:16" x14ac:dyDescent="0.2">
      <c r="A7" s="114"/>
      <c r="B7" s="115"/>
      <c r="C7" s="17"/>
      <c r="D7" s="17"/>
      <c r="O7" s="8"/>
      <c r="P7" s="8"/>
    </row>
    <row r="8" spans="1:16" x14ac:dyDescent="0.2">
      <c r="A8" s="114" t="s">
        <v>1556</v>
      </c>
      <c r="B8" s="93">
        <v>1366</v>
      </c>
      <c r="C8" s="93">
        <v>1586</v>
      </c>
      <c r="D8" s="93">
        <v>1</v>
      </c>
      <c r="O8" s="8"/>
      <c r="P8" s="8"/>
    </row>
    <row r="9" spans="1:16" x14ac:dyDescent="0.2">
      <c r="A9" s="114"/>
      <c r="B9" s="115"/>
      <c r="C9" s="17"/>
      <c r="D9" s="17"/>
      <c r="O9" s="8"/>
      <c r="P9" s="8"/>
    </row>
    <row r="10" spans="1:16" x14ac:dyDescent="0.2">
      <c r="A10" s="114" t="s">
        <v>1557</v>
      </c>
      <c r="B10" s="93">
        <v>141</v>
      </c>
      <c r="C10" s="93">
        <v>143</v>
      </c>
      <c r="D10" s="93">
        <v>1</v>
      </c>
      <c r="O10" s="8"/>
      <c r="P10" s="8"/>
    </row>
    <row r="11" spans="1:16" x14ac:dyDescent="0.2">
      <c r="A11" s="114"/>
      <c r="B11" s="115"/>
      <c r="C11" s="17"/>
      <c r="D11" s="17"/>
      <c r="O11" s="8"/>
      <c r="P11" s="8"/>
    </row>
    <row r="12" spans="1:16" x14ac:dyDescent="0.2">
      <c r="A12" s="116" t="s">
        <v>1558</v>
      </c>
      <c r="B12" s="93">
        <v>141</v>
      </c>
      <c r="C12" s="93">
        <v>141</v>
      </c>
      <c r="D12" s="93">
        <v>1</v>
      </c>
      <c r="O12" s="8"/>
      <c r="P12" s="8"/>
    </row>
    <row r="13" spans="1:16" x14ac:dyDescent="0.2">
      <c r="A13" s="114"/>
      <c r="B13" s="115"/>
      <c r="C13" s="17"/>
      <c r="D13" s="17"/>
      <c r="O13" s="8"/>
      <c r="P13" s="8"/>
    </row>
    <row r="14" spans="1:16" x14ac:dyDescent="0.2">
      <c r="A14" s="114" t="s">
        <v>1559</v>
      </c>
      <c r="B14" s="93">
        <v>0</v>
      </c>
      <c r="C14" s="93">
        <v>2</v>
      </c>
      <c r="D14" s="93">
        <v>0</v>
      </c>
      <c r="O14" s="8"/>
      <c r="P14" s="8"/>
    </row>
    <row r="15" spans="1:16" x14ac:dyDescent="0.2">
      <c r="A15" s="31"/>
      <c r="B15" s="115"/>
      <c r="C15" s="17"/>
      <c r="D15" s="17"/>
      <c r="O15" s="8"/>
      <c r="P15" s="8"/>
    </row>
    <row r="16" spans="1:16" x14ac:dyDescent="0.2">
      <c r="A16" s="31"/>
      <c r="B16" s="17"/>
      <c r="C16" s="17"/>
      <c r="D16" s="17"/>
      <c r="E16" s="17"/>
      <c r="O16" s="8"/>
      <c r="P16" s="8"/>
    </row>
    <row r="17" spans="1:16" x14ac:dyDescent="0.2">
      <c r="A17" s="31"/>
      <c r="B17" s="17"/>
      <c r="C17" s="17"/>
      <c r="D17" s="17"/>
      <c r="E17" s="17"/>
      <c r="O17" s="8"/>
      <c r="P17" s="8"/>
    </row>
    <row r="18" spans="1:16" x14ac:dyDescent="0.2">
      <c r="A18" s="31"/>
      <c r="B18" s="17"/>
      <c r="C18" s="17"/>
      <c r="D18" s="17"/>
      <c r="E18" s="17"/>
      <c r="O18" s="8"/>
      <c r="P18" s="8"/>
    </row>
    <row r="19" spans="1:16" x14ac:dyDescent="0.2">
      <c r="A19" s="31"/>
      <c r="B19" s="26" t="s">
        <v>1560</v>
      </c>
      <c r="C19" s="26" t="s">
        <v>1561</v>
      </c>
      <c r="D19" s="26" t="s">
        <v>1562</v>
      </c>
      <c r="E19" s="26" t="s">
        <v>1498</v>
      </c>
      <c r="O19" s="8"/>
      <c r="P19" s="8"/>
    </row>
    <row r="20" spans="1:16" x14ac:dyDescent="0.2">
      <c r="A20" s="117" t="s">
        <v>1563</v>
      </c>
      <c r="B20" s="93">
        <v>1155</v>
      </c>
      <c r="C20" s="93">
        <v>2328</v>
      </c>
      <c r="D20" s="93">
        <v>1009</v>
      </c>
      <c r="E20" s="206">
        <f>SUM(B20:D20)</f>
        <v>4492</v>
      </c>
      <c r="O20" s="8"/>
      <c r="P20" s="8"/>
    </row>
    <row r="21" spans="1:16" x14ac:dyDescent="0.2">
      <c r="A21" s="117" t="s">
        <v>1564</v>
      </c>
      <c r="B21" s="93">
        <v>930</v>
      </c>
      <c r="C21" s="93">
        <v>1778</v>
      </c>
      <c r="D21" s="93">
        <v>159</v>
      </c>
      <c r="E21" s="206">
        <f t="shared" ref="E21:E22" si="0">SUM(B21:D21)</f>
        <v>2867</v>
      </c>
      <c r="O21" s="8"/>
      <c r="P21" s="8"/>
    </row>
    <row r="22" spans="1:16" x14ac:dyDescent="0.2">
      <c r="A22" s="118" t="s">
        <v>1565</v>
      </c>
      <c r="B22" s="92">
        <v>146</v>
      </c>
      <c r="C22" s="92">
        <v>124</v>
      </c>
      <c r="D22" s="92">
        <v>8</v>
      </c>
      <c r="E22" s="206">
        <f t="shared" si="0"/>
        <v>278</v>
      </c>
      <c r="O22" s="8"/>
      <c r="P22" s="8"/>
    </row>
    <row r="23" spans="1:16" x14ac:dyDescent="0.2">
      <c r="O23" s="8"/>
      <c r="P23" s="8"/>
    </row>
    <row r="24" spans="1:16" ht="19" x14ac:dyDescent="0.25">
      <c r="A24" s="5" t="s">
        <v>1566</v>
      </c>
      <c r="O24" s="8"/>
      <c r="P24" s="8"/>
    </row>
    <row r="25" spans="1:16" x14ac:dyDescent="0.2">
      <c r="O25" s="8"/>
      <c r="P25" s="8"/>
    </row>
    <row r="26" spans="1:16" x14ac:dyDescent="0.2">
      <c r="A26" s="10" t="s">
        <v>1567</v>
      </c>
      <c r="O26" s="8"/>
      <c r="P26" s="8"/>
    </row>
    <row r="27" spans="1:16" x14ac:dyDescent="0.2">
      <c r="O27" s="8"/>
      <c r="P27" s="8"/>
    </row>
    <row r="28" spans="1:16" ht="17" x14ac:dyDescent="0.2">
      <c r="A28" s="20" t="s">
        <v>1568</v>
      </c>
      <c r="B28" s="34" t="s">
        <v>946</v>
      </c>
    </row>
    <row r="29" spans="1:16" x14ac:dyDescent="0.2">
      <c r="A29" s="10" t="s">
        <v>1569</v>
      </c>
      <c r="B29" s="16"/>
    </row>
    <row r="30" spans="1:16" x14ac:dyDescent="0.2">
      <c r="B30" s="16"/>
    </row>
    <row r="31" spans="1:16" x14ac:dyDescent="0.2">
      <c r="A31" s="10" t="s">
        <v>1570</v>
      </c>
      <c r="B31" s="16"/>
    </row>
    <row r="32" spans="1:16" x14ac:dyDescent="0.2">
      <c r="A32" s="33" t="s">
        <v>1571</v>
      </c>
      <c r="B32" s="190"/>
    </row>
    <row r="33" spans="1:2" x14ac:dyDescent="0.2">
      <c r="A33" s="33" t="s">
        <v>1572</v>
      </c>
      <c r="B33" s="190"/>
    </row>
    <row r="34" spans="1:2" x14ac:dyDescent="0.2">
      <c r="A34" s="33" t="s">
        <v>1573</v>
      </c>
      <c r="B34" s="190"/>
    </row>
    <row r="35" spans="1:2" x14ac:dyDescent="0.2">
      <c r="B35" s="16"/>
    </row>
    <row r="36" spans="1:2" x14ac:dyDescent="0.2">
      <c r="A36" s="33" t="s">
        <v>1574</v>
      </c>
      <c r="B36" s="34" t="s">
        <v>962</v>
      </c>
    </row>
    <row r="37" spans="1:2" x14ac:dyDescent="0.2">
      <c r="A37" s="119" t="s">
        <v>1575</v>
      </c>
      <c r="B37" s="34"/>
    </row>
    <row r="38" spans="1:2" x14ac:dyDescent="0.2">
      <c r="A38" s="119" t="s">
        <v>1576</v>
      </c>
      <c r="B38" s="34"/>
    </row>
    <row r="42" spans="1:2" ht="19" x14ac:dyDescent="0.25">
      <c r="A42" s="5" t="s">
        <v>1577</v>
      </c>
    </row>
    <row r="44" spans="1:2" x14ac:dyDescent="0.2">
      <c r="A44" t="s">
        <v>1578</v>
      </c>
    </row>
    <row r="45" spans="1:2" x14ac:dyDescent="0.2">
      <c r="A45" s="32" t="s">
        <v>951</v>
      </c>
    </row>
    <row r="46" spans="1:2" x14ac:dyDescent="0.2">
      <c r="A46" s="4"/>
    </row>
    <row r="47" spans="1:2" x14ac:dyDescent="0.2">
      <c r="A47" s="4"/>
    </row>
    <row r="48" spans="1:2" x14ac:dyDescent="0.2">
      <c r="A48" s="4"/>
    </row>
    <row r="50" spans="1:5" ht="19" x14ac:dyDescent="0.25">
      <c r="A50" s="5" t="s">
        <v>1579</v>
      </c>
    </row>
    <row r="52" spans="1:5" ht="36" customHeight="1" x14ac:dyDescent="0.2">
      <c r="A52" s="288" t="s">
        <v>1580</v>
      </c>
      <c r="B52" s="288"/>
      <c r="C52" s="288"/>
      <c r="D52" s="288"/>
      <c r="E52" s="288"/>
    </row>
    <row r="53" spans="1:5" x14ac:dyDescent="0.2">
      <c r="A53" s="32" t="s">
        <v>952</v>
      </c>
    </row>
    <row r="55" spans="1:5" ht="19" x14ac:dyDescent="0.25">
      <c r="A55" s="120" t="s">
        <v>1581</v>
      </c>
    </row>
    <row r="57" spans="1:5" ht="46" customHeight="1" x14ac:dyDescent="0.2">
      <c r="A57" s="288" t="s">
        <v>1582</v>
      </c>
      <c r="B57" s="288"/>
      <c r="C57" s="288"/>
      <c r="D57" s="288"/>
      <c r="E57" s="288"/>
    </row>
    <row r="58" spans="1:5" ht="32" x14ac:dyDescent="0.2">
      <c r="B58" s="121" t="s">
        <v>1583</v>
      </c>
      <c r="C58" s="121" t="s">
        <v>1584</v>
      </c>
    </row>
    <row r="59" spans="1:5" x14ac:dyDescent="0.2">
      <c r="A59" s="18" t="s">
        <v>1585</v>
      </c>
      <c r="B59" s="92">
        <v>16</v>
      </c>
      <c r="C59" s="92"/>
    </row>
    <row r="60" spans="1:5" x14ac:dyDescent="0.2">
      <c r="A60" s="18" t="s">
        <v>1586</v>
      </c>
      <c r="B60" s="92">
        <v>4</v>
      </c>
      <c r="C60" s="92"/>
    </row>
    <row r="61" spans="1:5" x14ac:dyDescent="0.2">
      <c r="A61" s="18" t="s">
        <v>1353</v>
      </c>
      <c r="B61" s="92">
        <v>3</v>
      </c>
      <c r="C61" s="92"/>
    </row>
    <row r="62" spans="1:5" x14ac:dyDescent="0.2">
      <c r="A62" s="18" t="s">
        <v>1587</v>
      </c>
      <c r="B62" s="92">
        <v>3</v>
      </c>
      <c r="C62" s="92"/>
    </row>
    <row r="63" spans="1:5" x14ac:dyDescent="0.2">
      <c r="A63" s="18" t="s">
        <v>1588</v>
      </c>
      <c r="B63" s="92">
        <v>0</v>
      </c>
      <c r="C63" s="92"/>
    </row>
    <row r="64" spans="1:5" x14ac:dyDescent="0.2">
      <c r="A64" s="18" t="s">
        <v>1589</v>
      </c>
      <c r="B64" s="92">
        <v>2</v>
      </c>
      <c r="C64" s="92"/>
    </row>
    <row r="65" spans="1:4" x14ac:dyDescent="0.2">
      <c r="A65" s="18" t="s">
        <v>1590</v>
      </c>
      <c r="B65" s="92">
        <v>3</v>
      </c>
      <c r="C65" s="92"/>
    </row>
    <row r="66" spans="1:4" x14ac:dyDescent="0.2">
      <c r="A66" s="18" t="s">
        <v>1339</v>
      </c>
      <c r="B66" s="92">
        <v>0</v>
      </c>
      <c r="C66" s="92"/>
    </row>
    <row r="67" spans="1:4" x14ac:dyDescent="0.2">
      <c r="A67" s="18" t="s">
        <v>1591</v>
      </c>
      <c r="B67" s="92">
        <v>0</v>
      </c>
      <c r="C67" s="92"/>
    </row>
    <row r="68" spans="1:4" x14ac:dyDescent="0.2">
      <c r="A68" s="18" t="s">
        <v>1592</v>
      </c>
      <c r="B68" s="92">
        <v>0</v>
      </c>
      <c r="C68" s="92"/>
    </row>
    <row r="69" spans="1:4" ht="20" customHeight="1" x14ac:dyDescent="0.2">
      <c r="A69" s="18" t="s">
        <v>1593</v>
      </c>
      <c r="B69" s="92">
        <v>1</v>
      </c>
      <c r="C69" s="92"/>
    </row>
    <row r="70" spans="1:4" ht="17" customHeight="1" x14ac:dyDescent="0.2">
      <c r="B70" s="122"/>
      <c r="C70" s="122"/>
    </row>
    <row r="71" spans="1:4" x14ac:dyDescent="0.2">
      <c r="A71" s="13" t="s">
        <v>1594</v>
      </c>
    </row>
    <row r="72" spans="1:4" ht="36" customHeight="1" x14ac:dyDescent="0.2">
      <c r="A72" s="210"/>
      <c r="B72" s="8"/>
      <c r="C72" s="8"/>
      <c r="D72" s="8"/>
    </row>
    <row r="73" spans="1:4" ht="10" customHeight="1" x14ac:dyDescent="0.2">
      <c r="A73" s="7"/>
      <c r="B73" s="8"/>
      <c r="C73" s="8"/>
      <c r="D73" s="8"/>
    </row>
    <row r="74" spans="1:4" ht="21" customHeight="1" x14ac:dyDescent="0.2">
      <c r="A74" s="8" t="s">
        <v>1595</v>
      </c>
      <c r="B74" s="8"/>
      <c r="C74" s="8"/>
      <c r="D74" s="8"/>
    </row>
    <row r="75" spans="1:4" ht="36" customHeight="1" x14ac:dyDescent="0.2">
      <c r="A75" s="210"/>
      <c r="B75" s="8"/>
      <c r="C75" s="8"/>
      <c r="D75" s="8"/>
    </row>
    <row r="76" spans="1:4" ht="14" customHeight="1" x14ac:dyDescent="0.2">
      <c r="A76" s="8"/>
      <c r="B76" s="8"/>
      <c r="C76" s="8"/>
      <c r="D76" s="8"/>
    </row>
    <row r="77" spans="1:4" ht="19" x14ac:dyDescent="0.25">
      <c r="A77" s="120" t="s">
        <v>1596</v>
      </c>
    </row>
    <row r="79" spans="1:4" ht="68" customHeight="1" x14ac:dyDescent="0.2">
      <c r="A79" s="288" t="s">
        <v>1597</v>
      </c>
      <c r="B79" s="288"/>
      <c r="C79" s="288"/>
    </row>
    <row r="80" spans="1:4" x14ac:dyDescent="0.2">
      <c r="A80" s="102"/>
    </row>
    <row r="82" spans="1:5" x14ac:dyDescent="0.2">
      <c r="A82" s="10" t="s">
        <v>1598</v>
      </c>
    </row>
    <row r="83" spans="1:5" ht="83" customHeight="1" x14ac:dyDescent="0.2">
      <c r="A83" s="171"/>
    </row>
    <row r="85" spans="1:5" ht="19" x14ac:dyDescent="0.25">
      <c r="A85" s="120" t="s">
        <v>1599</v>
      </c>
    </row>
    <row r="87" spans="1:5" x14ac:dyDescent="0.2">
      <c r="A87" s="288" t="s">
        <v>1600</v>
      </c>
      <c r="B87" s="288"/>
      <c r="C87" s="288"/>
      <c r="D87" s="288"/>
      <c r="E87" s="288"/>
    </row>
    <row r="88" spans="1:5" x14ac:dyDescent="0.2">
      <c r="A88" s="288"/>
      <c r="B88" s="288"/>
      <c r="C88" s="288"/>
      <c r="D88" s="288"/>
      <c r="E88" s="288"/>
    </row>
    <row r="90" spans="1:5" x14ac:dyDescent="0.2">
      <c r="A90" s="2" t="s">
        <v>1601</v>
      </c>
    </row>
    <row r="91" spans="1:5" x14ac:dyDescent="0.2">
      <c r="A91" t="s">
        <v>1602</v>
      </c>
      <c r="B91" s="103" t="s">
        <v>954</v>
      </c>
    </row>
    <row r="92" spans="1:5" x14ac:dyDescent="0.2">
      <c r="A92" t="s">
        <v>1603</v>
      </c>
      <c r="B92" s="103" t="s">
        <v>985</v>
      </c>
    </row>
    <row r="93" spans="1:5" x14ac:dyDescent="0.2">
      <c r="A93" t="s">
        <v>1604</v>
      </c>
      <c r="B93" s="103" t="s">
        <v>954</v>
      </c>
    </row>
    <row r="94" spans="1:5" x14ac:dyDescent="0.2">
      <c r="A94" t="s">
        <v>1605</v>
      </c>
      <c r="B94" s="103" t="s">
        <v>970</v>
      </c>
    </row>
    <row r="95" spans="1:5" x14ac:dyDescent="0.2">
      <c r="A95" t="s">
        <v>1606</v>
      </c>
      <c r="B95" s="103" t="s">
        <v>985</v>
      </c>
    </row>
    <row r="96" spans="1:5" x14ac:dyDescent="0.2">
      <c r="A96" t="s">
        <v>1607</v>
      </c>
      <c r="B96" s="103" t="s">
        <v>985</v>
      </c>
    </row>
    <row r="97" spans="1:2" x14ac:dyDescent="0.2">
      <c r="A97" s="2" t="s">
        <v>1608</v>
      </c>
    </row>
    <row r="98" spans="1:2" x14ac:dyDescent="0.2">
      <c r="A98" t="s">
        <v>1609</v>
      </c>
      <c r="B98" s="103" t="s">
        <v>985</v>
      </c>
    </row>
    <row r="99" spans="1:2" x14ac:dyDescent="0.2">
      <c r="A99" t="s">
        <v>1610</v>
      </c>
      <c r="B99" s="103" t="s">
        <v>970</v>
      </c>
    </row>
    <row r="100" spans="1:2" x14ac:dyDescent="0.2">
      <c r="A100" t="s">
        <v>1611</v>
      </c>
      <c r="B100" s="103" t="s">
        <v>985</v>
      </c>
    </row>
    <row r="101" spans="1:2" x14ac:dyDescent="0.2">
      <c r="A101" t="s">
        <v>1612</v>
      </c>
      <c r="B101" s="103" t="s">
        <v>970</v>
      </c>
    </row>
    <row r="102" spans="1:2" x14ac:dyDescent="0.2">
      <c r="A102" t="s">
        <v>1613</v>
      </c>
      <c r="B102" s="103" t="s">
        <v>985</v>
      </c>
    </row>
    <row r="103" spans="1:2" x14ac:dyDescent="0.2">
      <c r="A103" t="s">
        <v>1614</v>
      </c>
      <c r="B103" s="103" t="s">
        <v>995</v>
      </c>
    </row>
    <row r="104" spans="1:2" x14ac:dyDescent="0.2">
      <c r="A104" t="s">
        <v>1615</v>
      </c>
      <c r="B104" s="103" t="s">
        <v>985</v>
      </c>
    </row>
    <row r="105" spans="1:2" x14ac:dyDescent="0.2">
      <c r="A105" t="s">
        <v>1616</v>
      </c>
      <c r="B105" s="103" t="s">
        <v>995</v>
      </c>
    </row>
    <row r="106" spans="1:2" x14ac:dyDescent="0.2">
      <c r="A106" t="s">
        <v>1617</v>
      </c>
      <c r="B106" s="103" t="s">
        <v>995</v>
      </c>
    </row>
    <row r="107" spans="1:2" x14ac:dyDescent="0.2">
      <c r="A107" t="s">
        <v>1618</v>
      </c>
      <c r="B107" s="103" t="s">
        <v>985</v>
      </c>
    </row>
    <row r="108" spans="1:2" x14ac:dyDescent="0.2">
      <c r="A108" t="s">
        <v>1619</v>
      </c>
      <c r="B108" s="103" t="s">
        <v>985</v>
      </c>
    </row>
    <row r="109" spans="1:2" x14ac:dyDescent="0.2">
      <c r="A109" t="s">
        <v>1620</v>
      </c>
      <c r="B109" s="103" t="s">
        <v>985</v>
      </c>
    </row>
    <row r="111" spans="1:2" x14ac:dyDescent="0.2">
      <c r="A111" t="s">
        <v>1621</v>
      </c>
    </row>
    <row r="112" spans="1:2" ht="106" customHeight="1" x14ac:dyDescent="0.2">
      <c r="A112" s="171"/>
    </row>
    <row r="114" spans="1:4" ht="19" x14ac:dyDescent="0.25">
      <c r="A114" s="120" t="s">
        <v>1622</v>
      </c>
    </row>
    <row r="115" spans="1:4" ht="34" customHeight="1" x14ac:dyDescent="0.2">
      <c r="A115" s="328" t="s">
        <v>1623</v>
      </c>
      <c r="B115" s="328"/>
      <c r="C115" s="328"/>
      <c r="D115" s="32" t="s">
        <v>946</v>
      </c>
    </row>
    <row r="116" spans="1:4" x14ac:dyDescent="0.2">
      <c r="A116" s="123" t="s">
        <v>1624</v>
      </c>
    </row>
    <row r="118" spans="1:4" ht="27" customHeight="1" x14ac:dyDescent="0.2">
      <c r="A118" s="4" t="s">
        <v>1625</v>
      </c>
    </row>
    <row r="119" spans="1:4" x14ac:dyDescent="0.2">
      <c r="A119" s="34" t="s">
        <v>996</v>
      </c>
    </row>
    <row r="120" spans="1:4" ht="28" customHeight="1" x14ac:dyDescent="0.2">
      <c r="A120" s="4" t="s">
        <v>1626</v>
      </c>
    </row>
    <row r="121" spans="1:4" x14ac:dyDescent="0.2">
      <c r="A121" s="32"/>
    </row>
    <row r="122" spans="1:4" ht="29" customHeight="1" x14ac:dyDescent="0.2">
      <c r="A122" s="4" t="s">
        <v>1627</v>
      </c>
    </row>
    <row r="123" spans="1:4" x14ac:dyDescent="0.2">
      <c r="A123" s="32"/>
    </row>
    <row r="125" spans="1:4" x14ac:dyDescent="0.2">
      <c r="A125" t="s">
        <v>1628</v>
      </c>
      <c r="B125" s="32" t="s">
        <v>962</v>
      </c>
    </row>
    <row r="127" spans="1:4" x14ac:dyDescent="0.2">
      <c r="A127" t="s">
        <v>1629</v>
      </c>
      <c r="D127" s="35">
        <v>45337</v>
      </c>
    </row>
    <row r="128" spans="1:4" x14ac:dyDescent="0.2">
      <c r="A128" s="10" t="s">
        <v>1630</v>
      </c>
    </row>
    <row r="130" spans="1:5" ht="51" customHeight="1" x14ac:dyDescent="0.2">
      <c r="A130" s="288" t="s">
        <v>1631</v>
      </c>
      <c r="B130" s="288"/>
      <c r="C130" s="288"/>
      <c r="D130" s="288"/>
      <c r="E130" s="288"/>
    </row>
    <row r="131" spans="1:5" ht="94" customHeight="1" x14ac:dyDescent="0.2">
      <c r="A131" s="46" t="s">
        <v>2346</v>
      </c>
    </row>
    <row r="133" spans="1:5" ht="34" x14ac:dyDescent="0.2">
      <c r="A133" s="20" t="s">
        <v>1632</v>
      </c>
    </row>
    <row r="134" spans="1:5" x14ac:dyDescent="0.2">
      <c r="B134" s="7"/>
      <c r="C134" s="7"/>
      <c r="D134" s="7"/>
      <c r="E134" s="7"/>
    </row>
    <row r="135" spans="1:5" x14ac:dyDescent="0.2">
      <c r="B135" s="7"/>
      <c r="C135" s="7"/>
      <c r="D135" s="7"/>
      <c r="E135" s="7"/>
    </row>
    <row r="136" spans="1:5" x14ac:dyDescent="0.2">
      <c r="B136" s="7"/>
      <c r="C136" s="7"/>
      <c r="D136" s="7"/>
      <c r="E136" s="7"/>
    </row>
    <row r="137" spans="1:5" x14ac:dyDescent="0.2">
      <c r="B137" s="7"/>
      <c r="C137" s="7"/>
      <c r="D137" s="7"/>
      <c r="E137" s="7"/>
    </row>
    <row r="138" spans="1:5" x14ac:dyDescent="0.2">
      <c r="B138" s="7"/>
      <c r="C138" s="7"/>
      <c r="D138" s="7"/>
      <c r="E138" s="7"/>
    </row>
    <row r="139" spans="1:5" x14ac:dyDescent="0.2">
      <c r="B139" s="7"/>
      <c r="C139" s="7"/>
      <c r="D139" s="7"/>
      <c r="E139" s="7"/>
    </row>
    <row r="140" spans="1:5" x14ac:dyDescent="0.2">
      <c r="B140" s="7"/>
      <c r="C140" s="7"/>
      <c r="D140" s="7"/>
      <c r="E140" s="7"/>
    </row>
    <row r="141" spans="1:5" x14ac:dyDescent="0.2">
      <c r="B141" s="7"/>
      <c r="C141" s="7"/>
      <c r="D141" s="7"/>
      <c r="E141" s="7"/>
    </row>
    <row r="142" spans="1:5" x14ac:dyDescent="0.2">
      <c r="A142" s="124" t="s">
        <v>1633</v>
      </c>
      <c r="B142" s="7"/>
      <c r="C142" s="7"/>
      <c r="D142" s="7"/>
      <c r="E142" s="7"/>
    </row>
    <row r="143" spans="1:5" ht="71" customHeight="1" x14ac:dyDescent="0.2">
      <c r="A143" s="15"/>
      <c r="B143" s="7"/>
      <c r="C143" s="7"/>
      <c r="D143" s="7"/>
      <c r="E143" s="7"/>
    </row>
    <row r="144" spans="1:5" ht="19" x14ac:dyDescent="0.25">
      <c r="A144" s="120" t="s">
        <v>1634</v>
      </c>
    </row>
    <row r="145" spans="1:5" ht="4" customHeight="1" x14ac:dyDescent="0.2"/>
    <row r="146" spans="1:5" ht="69" customHeight="1" x14ac:dyDescent="0.2">
      <c r="A146" s="308" t="s">
        <v>1635</v>
      </c>
      <c r="B146" s="308"/>
      <c r="C146" s="308"/>
      <c r="D146" s="308"/>
      <c r="E146" s="308"/>
    </row>
    <row r="147" spans="1:5" ht="25" customHeight="1" x14ac:dyDescent="0.2">
      <c r="A147" s="330" t="s">
        <v>1636</v>
      </c>
      <c r="B147" s="330"/>
      <c r="C147" s="330"/>
      <c r="D147" s="330"/>
      <c r="E147" s="330"/>
    </row>
    <row r="148" spans="1:5" x14ac:dyDescent="0.2">
      <c r="A148" s="336" t="s">
        <v>1637</v>
      </c>
      <c r="B148" s="327"/>
      <c r="C148" s="327"/>
      <c r="D148" s="327"/>
      <c r="E148" s="327"/>
    </row>
    <row r="149" spans="1:5" x14ac:dyDescent="0.2">
      <c r="A149" s="125" t="s">
        <v>1638</v>
      </c>
      <c r="B149" s="126"/>
      <c r="C149" s="126"/>
      <c r="D149" s="126"/>
      <c r="E149" s="126"/>
    </row>
    <row r="150" spans="1:5" ht="53" customHeight="1" x14ac:dyDescent="0.2">
      <c r="A150" s="327" t="s">
        <v>1639</v>
      </c>
      <c r="B150" s="327"/>
      <c r="C150" s="327"/>
      <c r="D150" s="327"/>
      <c r="E150" s="327"/>
    </row>
    <row r="152" spans="1:5" x14ac:dyDescent="0.2">
      <c r="B152" s="2" t="s">
        <v>1640</v>
      </c>
      <c r="C152" s="2" t="s">
        <v>1641</v>
      </c>
    </row>
    <row r="153" spans="1:5" x14ac:dyDescent="0.2">
      <c r="A153" s="22" t="s">
        <v>1642</v>
      </c>
      <c r="B153" s="105">
        <v>0.13</v>
      </c>
      <c r="C153" s="104">
        <v>37</v>
      </c>
    </row>
    <row r="154" spans="1:5" x14ac:dyDescent="0.2">
      <c r="A154" s="22" t="s">
        <v>1643</v>
      </c>
      <c r="B154" s="105">
        <v>0.1</v>
      </c>
      <c r="C154" s="104">
        <v>27</v>
      </c>
    </row>
    <row r="156" spans="1:5" ht="38" customHeight="1" x14ac:dyDescent="0.2">
      <c r="A156" s="328" t="s">
        <v>1644</v>
      </c>
      <c r="B156" s="308"/>
      <c r="C156" s="308"/>
      <c r="D156" s="308"/>
      <c r="E156" s="308"/>
    </row>
    <row r="157" spans="1:5" ht="5" customHeight="1" x14ac:dyDescent="0.2"/>
    <row r="158" spans="1:5" ht="61" customHeight="1" x14ac:dyDescent="0.2">
      <c r="A158" s="3" t="s">
        <v>1645</v>
      </c>
      <c r="B158" s="23" t="s">
        <v>1646</v>
      </c>
      <c r="C158" s="23" t="s">
        <v>1647</v>
      </c>
      <c r="D158" s="23" t="s">
        <v>1648</v>
      </c>
    </row>
    <row r="159" spans="1:5" x14ac:dyDescent="0.2">
      <c r="A159" s="4" t="s">
        <v>1649</v>
      </c>
      <c r="B159" s="40">
        <v>1030</v>
      </c>
      <c r="C159" s="40">
        <v>1220</v>
      </c>
      <c r="D159" s="40">
        <v>1310</v>
      </c>
    </row>
    <row r="160" spans="1:5" x14ac:dyDescent="0.2">
      <c r="A160" s="4" t="s">
        <v>1650</v>
      </c>
      <c r="B160" s="40">
        <v>600</v>
      </c>
      <c r="C160" s="40">
        <v>640</v>
      </c>
      <c r="D160" s="40">
        <v>690</v>
      </c>
    </row>
    <row r="161" spans="1:4" x14ac:dyDescent="0.2">
      <c r="A161" s="4" t="s">
        <v>1651</v>
      </c>
      <c r="B161" s="40">
        <v>540</v>
      </c>
      <c r="C161" s="40">
        <v>610</v>
      </c>
      <c r="D161" s="40">
        <v>660</v>
      </c>
    </row>
    <row r="162" spans="1:4" x14ac:dyDescent="0.2">
      <c r="A162" s="4" t="s">
        <v>1652</v>
      </c>
      <c r="B162" s="40">
        <v>25</v>
      </c>
      <c r="C162" s="40">
        <v>29</v>
      </c>
      <c r="D162" s="40">
        <v>31</v>
      </c>
    </row>
    <row r="163" spans="1:4" x14ac:dyDescent="0.2">
      <c r="A163" s="4" t="s">
        <v>1653</v>
      </c>
      <c r="B163" s="40">
        <v>21</v>
      </c>
      <c r="C163" s="40">
        <v>25</v>
      </c>
      <c r="D163" s="40">
        <v>27</v>
      </c>
    </row>
    <row r="164" spans="1:4" x14ac:dyDescent="0.2">
      <c r="A164" s="4" t="s">
        <v>1654</v>
      </c>
      <c r="B164" s="40">
        <v>22</v>
      </c>
      <c r="C164" s="40">
        <v>28</v>
      </c>
      <c r="D164" s="40">
        <v>35</v>
      </c>
    </row>
    <row r="165" spans="1:4" x14ac:dyDescent="0.2">
      <c r="A165" s="4" t="s">
        <v>1655</v>
      </c>
      <c r="B165" s="40">
        <v>27</v>
      </c>
      <c r="C165" s="40">
        <v>33</v>
      </c>
      <c r="D165" s="40">
        <v>35</v>
      </c>
    </row>
    <row r="166" spans="1:4" x14ac:dyDescent="0.2">
      <c r="A166" s="4" t="s">
        <v>1656</v>
      </c>
      <c r="B166" s="40"/>
      <c r="C166" s="40"/>
      <c r="D166" s="40"/>
    </row>
    <row r="167" spans="1:4" x14ac:dyDescent="0.2">
      <c r="A167" s="4" t="s">
        <v>1657</v>
      </c>
      <c r="B167" s="40"/>
      <c r="C167" s="40"/>
      <c r="D167" s="40"/>
    </row>
    <row r="168" spans="1:4" ht="34" x14ac:dyDescent="0.2">
      <c r="A168" s="127" t="s">
        <v>1658</v>
      </c>
    </row>
    <row r="169" spans="1:4" ht="68" x14ac:dyDescent="0.2">
      <c r="A169" s="128" t="s">
        <v>1659</v>
      </c>
      <c r="B169" s="129" t="s">
        <v>1660</v>
      </c>
      <c r="C169" s="21" t="s">
        <v>1661</v>
      </c>
    </row>
    <row r="170" spans="1:4" x14ac:dyDescent="0.2">
      <c r="A170" s="130" t="s">
        <v>1662</v>
      </c>
      <c r="B170" s="41">
        <v>0.23</v>
      </c>
      <c r="C170" s="42">
        <v>0.11</v>
      </c>
    </row>
    <row r="171" spans="1:4" x14ac:dyDescent="0.2">
      <c r="A171" s="130" t="s">
        <v>1663</v>
      </c>
      <c r="B171" s="41">
        <v>0.52</v>
      </c>
      <c r="C171" s="42">
        <v>0.45</v>
      </c>
    </row>
    <row r="172" spans="1:4" x14ac:dyDescent="0.2">
      <c r="A172" s="130" t="s">
        <v>1664</v>
      </c>
      <c r="B172" s="41">
        <v>0.19</v>
      </c>
      <c r="C172" s="42">
        <v>0.32</v>
      </c>
    </row>
    <row r="173" spans="1:4" x14ac:dyDescent="0.2">
      <c r="A173" s="130" t="s">
        <v>1665</v>
      </c>
      <c r="B173" s="41">
        <v>0.06</v>
      </c>
      <c r="C173" s="42">
        <v>0.12</v>
      </c>
    </row>
    <row r="174" spans="1:4" x14ac:dyDescent="0.2">
      <c r="A174" s="130" t="s">
        <v>1666</v>
      </c>
      <c r="B174" s="41">
        <v>0</v>
      </c>
      <c r="C174" s="42">
        <v>0</v>
      </c>
    </row>
    <row r="175" spans="1:4" x14ac:dyDescent="0.2">
      <c r="A175" s="130" t="s">
        <v>1667</v>
      </c>
      <c r="B175" s="41">
        <v>0</v>
      </c>
      <c r="C175" s="42">
        <v>0</v>
      </c>
    </row>
    <row r="176" spans="1:4" x14ac:dyDescent="0.2">
      <c r="A176" s="131" t="s">
        <v>1498</v>
      </c>
      <c r="B176" s="132">
        <f>SUM(B170:B175)</f>
        <v>1</v>
      </c>
      <c r="C176" s="133">
        <f>SUM(C170:C175)</f>
        <v>1</v>
      </c>
    </row>
    <row r="178" spans="1:5" ht="34" x14ac:dyDescent="0.2">
      <c r="A178" s="128" t="s">
        <v>1659</v>
      </c>
      <c r="B178" s="129" t="s">
        <v>1668</v>
      </c>
      <c r="D178" s="128" t="s">
        <v>1659</v>
      </c>
      <c r="E178" s="129" t="s">
        <v>1669</v>
      </c>
    </row>
    <row r="179" spans="1:5" x14ac:dyDescent="0.2">
      <c r="A179" s="130" t="s">
        <v>1670</v>
      </c>
      <c r="B179" s="41">
        <v>0.06</v>
      </c>
      <c r="D179" s="134" t="s">
        <v>1671</v>
      </c>
      <c r="E179" s="41">
        <v>0.45</v>
      </c>
    </row>
    <row r="180" spans="1:5" x14ac:dyDescent="0.2">
      <c r="A180" s="130" t="s">
        <v>1672</v>
      </c>
      <c r="B180" s="41">
        <v>0.5</v>
      </c>
      <c r="D180" s="134" t="s">
        <v>1673</v>
      </c>
      <c r="E180" s="41">
        <v>0.33</v>
      </c>
    </row>
    <row r="181" spans="1:5" x14ac:dyDescent="0.2">
      <c r="A181" s="130" t="s">
        <v>1674</v>
      </c>
      <c r="B181" s="41">
        <v>0.33</v>
      </c>
      <c r="D181" s="134" t="s">
        <v>1675</v>
      </c>
      <c r="E181" s="41">
        <v>0.22</v>
      </c>
    </row>
    <row r="182" spans="1:5" x14ac:dyDescent="0.2">
      <c r="A182" s="130" t="s">
        <v>1676</v>
      </c>
      <c r="B182" s="41">
        <v>0.11</v>
      </c>
      <c r="D182" s="134" t="s">
        <v>1677</v>
      </c>
      <c r="E182" s="41">
        <v>0</v>
      </c>
    </row>
    <row r="183" spans="1:5" x14ac:dyDescent="0.2">
      <c r="A183" s="130" t="s">
        <v>1678</v>
      </c>
      <c r="B183" s="41">
        <v>0</v>
      </c>
      <c r="D183" s="134" t="s">
        <v>1679</v>
      </c>
      <c r="E183" s="41">
        <v>0</v>
      </c>
    </row>
    <row r="184" spans="1:5" x14ac:dyDescent="0.2">
      <c r="A184" s="130" t="s">
        <v>1680</v>
      </c>
      <c r="B184" s="41">
        <v>0</v>
      </c>
      <c r="D184" s="134" t="s">
        <v>1681</v>
      </c>
      <c r="E184" s="41">
        <v>0</v>
      </c>
    </row>
    <row r="185" spans="1:5" x14ac:dyDescent="0.2">
      <c r="A185" s="131" t="s">
        <v>1498</v>
      </c>
      <c r="B185" s="132">
        <f>SUM(B179:B184)</f>
        <v>1.0000000000000002</v>
      </c>
      <c r="D185" s="135" t="s">
        <v>1498</v>
      </c>
      <c r="E185" s="132">
        <f>SUM(E179:E184)</f>
        <v>1</v>
      </c>
    </row>
    <row r="188" spans="1:5" ht="17" x14ac:dyDescent="0.2">
      <c r="A188" s="128" t="s">
        <v>1659</v>
      </c>
      <c r="B188" s="136" t="s">
        <v>1682</v>
      </c>
      <c r="C188" s="136" t="s">
        <v>1683</v>
      </c>
      <c r="D188" s="136" t="s">
        <v>1684</v>
      </c>
      <c r="E188" s="136" t="s">
        <v>1685</v>
      </c>
    </row>
    <row r="189" spans="1:5" x14ac:dyDescent="0.2">
      <c r="A189" s="134" t="s">
        <v>1671</v>
      </c>
      <c r="B189" s="43">
        <v>0.45</v>
      </c>
      <c r="C189" s="43">
        <v>0.16</v>
      </c>
      <c r="D189" s="43">
        <v>0.66</v>
      </c>
      <c r="E189" s="43"/>
    </row>
    <row r="190" spans="1:5" x14ac:dyDescent="0.2">
      <c r="A190" s="134" t="s">
        <v>1673</v>
      </c>
      <c r="B190" s="43">
        <v>0.22</v>
      </c>
      <c r="C190" s="43">
        <v>0.44</v>
      </c>
      <c r="D190" s="43">
        <v>0.15</v>
      </c>
      <c r="E190" s="43"/>
    </row>
    <row r="191" spans="1:5" x14ac:dyDescent="0.2">
      <c r="A191" s="134" t="s">
        <v>1675</v>
      </c>
      <c r="B191" s="43">
        <v>0.33</v>
      </c>
      <c r="C191" s="43">
        <v>0.32</v>
      </c>
      <c r="D191" s="43">
        <v>0.19</v>
      </c>
      <c r="E191" s="43"/>
    </row>
    <row r="192" spans="1:5" x14ac:dyDescent="0.2">
      <c r="A192" s="134" t="s">
        <v>1677</v>
      </c>
      <c r="B192" s="43">
        <v>0</v>
      </c>
      <c r="C192" s="43">
        <v>0.08</v>
      </c>
      <c r="D192" s="43">
        <v>0</v>
      </c>
      <c r="E192" s="43"/>
    </row>
    <row r="193" spans="1:5" x14ac:dyDescent="0.2">
      <c r="A193" s="134" t="s">
        <v>1679</v>
      </c>
      <c r="B193" s="43">
        <v>0</v>
      </c>
      <c r="C193" s="43">
        <v>0</v>
      </c>
      <c r="D193" s="43">
        <v>0</v>
      </c>
      <c r="E193" s="43"/>
    </row>
    <row r="194" spans="1:5" x14ac:dyDescent="0.2">
      <c r="A194" s="134" t="s">
        <v>1681</v>
      </c>
      <c r="B194" s="43">
        <v>0</v>
      </c>
      <c r="C194" s="43">
        <v>0</v>
      </c>
      <c r="D194" s="43">
        <v>0</v>
      </c>
      <c r="E194" s="43"/>
    </row>
    <row r="195" spans="1:5" x14ac:dyDescent="0.2">
      <c r="A195" s="135" t="s">
        <v>1498</v>
      </c>
      <c r="B195" s="137">
        <f>SUM(B189:B194)</f>
        <v>1</v>
      </c>
      <c r="C195" s="137">
        <f>SUM(C189:C194)</f>
        <v>0.99999999999999989</v>
      </c>
      <c r="D195" s="137">
        <f>SUM(D189:D194)</f>
        <v>1</v>
      </c>
      <c r="E195" s="137">
        <f>SUM(E189:E194)</f>
        <v>0</v>
      </c>
    </row>
    <row r="196" spans="1:5" ht="19" x14ac:dyDescent="0.25">
      <c r="A196" s="120" t="s">
        <v>1686</v>
      </c>
    </row>
    <row r="198" spans="1:5" ht="38" customHeight="1" x14ac:dyDescent="0.2">
      <c r="A198" s="308" t="s">
        <v>1687</v>
      </c>
      <c r="B198" s="308"/>
      <c r="C198" s="308"/>
      <c r="D198" s="308"/>
      <c r="E198" s="308"/>
    </row>
    <row r="200" spans="1:5" x14ac:dyDescent="0.2">
      <c r="A200" s="138" t="s">
        <v>1688</v>
      </c>
      <c r="B200" s="139" t="s">
        <v>381</v>
      </c>
    </row>
    <row r="201" spans="1:5" ht="34.5" customHeight="1" x14ac:dyDescent="0.2">
      <c r="A201" s="128" t="s">
        <v>1689</v>
      </c>
      <c r="B201" s="106">
        <v>0.20699999999999999</v>
      </c>
    </row>
    <row r="202" spans="1:5" ht="34.5" customHeight="1" x14ac:dyDescent="0.2">
      <c r="A202" s="128" t="s">
        <v>1690</v>
      </c>
      <c r="B202" s="106">
        <v>0.45</v>
      </c>
    </row>
    <row r="203" spans="1:5" ht="34.5" customHeight="1" x14ac:dyDescent="0.2">
      <c r="A203" s="128" t="s">
        <v>1691</v>
      </c>
      <c r="B203" s="106">
        <v>0.74299999999999999</v>
      </c>
      <c r="D203" s="293" t="s">
        <v>1692</v>
      </c>
      <c r="E203" s="293"/>
    </row>
    <row r="204" spans="1:5" ht="34.5" customHeight="1" x14ac:dyDescent="0.2">
      <c r="A204" s="128" t="s">
        <v>1693</v>
      </c>
      <c r="B204" s="106">
        <v>0.25700000000000001</v>
      </c>
      <c r="D204" s="293"/>
      <c r="E204" s="293"/>
    </row>
    <row r="205" spans="1:5" ht="34.5" customHeight="1" x14ac:dyDescent="0.2">
      <c r="A205" s="128" t="s">
        <v>1694</v>
      </c>
      <c r="B205" s="106">
        <v>0.1</v>
      </c>
    </row>
    <row r="206" spans="1:5" ht="34.5" customHeight="1" x14ac:dyDescent="0.2">
      <c r="A206" s="128" t="s">
        <v>1695</v>
      </c>
      <c r="B206" s="106">
        <v>0.49299999999999999</v>
      </c>
    </row>
    <row r="210" spans="1:5" ht="19" x14ac:dyDescent="0.25">
      <c r="A210" s="120" t="s">
        <v>1696</v>
      </c>
    </row>
    <row r="212" spans="1:5" ht="40" customHeight="1" x14ac:dyDescent="0.2">
      <c r="A212" s="329" t="s">
        <v>1697</v>
      </c>
      <c r="B212" s="329"/>
      <c r="C212" s="329"/>
      <c r="D212" s="329"/>
      <c r="E212" s="329"/>
    </row>
    <row r="213" spans="1:5" ht="23" customHeight="1" x14ac:dyDescent="0.2">
      <c r="A213" s="326" t="s">
        <v>1698</v>
      </c>
      <c r="B213" s="326"/>
      <c r="C213" s="326"/>
      <c r="D213" s="326"/>
      <c r="E213" s="326"/>
    </row>
    <row r="214" spans="1:5" ht="54" customHeight="1" x14ac:dyDescent="0.2">
      <c r="A214" s="326" t="s">
        <v>1699</v>
      </c>
      <c r="B214" s="326"/>
      <c r="C214" s="326"/>
      <c r="D214" s="326"/>
      <c r="E214" s="326"/>
    </row>
    <row r="216" spans="1:5" x14ac:dyDescent="0.2">
      <c r="B216" s="36"/>
      <c r="C216" s="36"/>
      <c r="E216" s="337"/>
    </row>
    <row r="217" spans="1:5" ht="68" x14ac:dyDescent="0.2">
      <c r="A217" s="17" t="s">
        <v>1659</v>
      </c>
      <c r="B217" s="24" t="s">
        <v>1700</v>
      </c>
      <c r="C217" s="24" t="s">
        <v>1701</v>
      </c>
      <c r="D217" s="24" t="s">
        <v>1702</v>
      </c>
      <c r="E217" s="337"/>
    </row>
    <row r="218" spans="1:5" ht="17" customHeight="1" x14ac:dyDescent="0.2">
      <c r="A218" s="25" t="s">
        <v>1703</v>
      </c>
      <c r="B218" s="108">
        <v>0.155</v>
      </c>
      <c r="C218" s="108">
        <v>8.2000000000000003E-2</v>
      </c>
      <c r="D218" s="108"/>
      <c r="E218" s="337"/>
    </row>
    <row r="219" spans="1:5" ht="17" x14ac:dyDescent="0.2">
      <c r="A219" s="25" t="s">
        <v>1704</v>
      </c>
      <c r="B219" s="108"/>
      <c r="C219" s="108">
        <v>4.0000000000000001E-3</v>
      </c>
      <c r="D219" s="108"/>
      <c r="E219" s="337"/>
    </row>
    <row r="220" spans="1:5" ht="17" x14ac:dyDescent="0.2">
      <c r="A220" s="25" t="s">
        <v>1705</v>
      </c>
      <c r="B220" s="108">
        <v>5.1999999999999998E-2</v>
      </c>
      <c r="C220" s="108">
        <v>0.06</v>
      </c>
      <c r="D220" s="108"/>
      <c r="E220" s="337"/>
    </row>
    <row r="221" spans="1:5" ht="17" x14ac:dyDescent="0.2">
      <c r="A221" s="25" t="s">
        <v>1706</v>
      </c>
      <c r="B221" s="108">
        <v>0.155</v>
      </c>
      <c r="C221" s="108">
        <v>0.14599999999999999</v>
      </c>
      <c r="D221" s="108"/>
      <c r="E221" s="337"/>
    </row>
    <row r="222" spans="1:5" ht="17" x14ac:dyDescent="0.2">
      <c r="A222" s="25" t="s">
        <v>1707</v>
      </c>
      <c r="B222" s="108">
        <v>8.5999999999999993E-2</v>
      </c>
      <c r="C222" s="108">
        <v>0.112</v>
      </c>
      <c r="D222" s="108"/>
      <c r="E222" s="337"/>
    </row>
    <row r="223" spans="1:5" ht="17" x14ac:dyDescent="0.2">
      <c r="A223" s="25" t="s">
        <v>1708</v>
      </c>
      <c r="B223" s="108">
        <v>6.9000000000000006E-2</v>
      </c>
      <c r="C223" s="108">
        <v>0.11600000000000001</v>
      </c>
      <c r="D223" s="108"/>
      <c r="E223" s="337"/>
    </row>
    <row r="224" spans="1:5" ht="17" x14ac:dyDescent="0.2">
      <c r="A224" s="25" t="s">
        <v>1709</v>
      </c>
      <c r="B224" s="108">
        <v>0.19</v>
      </c>
      <c r="C224" s="108">
        <v>0.187</v>
      </c>
      <c r="D224" s="108"/>
      <c r="E224" s="337"/>
    </row>
    <row r="225" spans="1:5" ht="17" x14ac:dyDescent="0.2">
      <c r="A225" s="25" t="s">
        <v>1710</v>
      </c>
      <c r="B225" s="108">
        <v>0.24099999999999999</v>
      </c>
      <c r="C225" s="108">
        <v>0.255</v>
      </c>
      <c r="D225" s="108"/>
      <c r="E225" s="337"/>
    </row>
    <row r="226" spans="1:5" ht="17" x14ac:dyDescent="0.2">
      <c r="A226" s="25" t="s">
        <v>1711</v>
      </c>
      <c r="B226" s="108">
        <v>5.1999999999999998E-2</v>
      </c>
      <c r="C226" s="108">
        <v>3.6999999999999998E-2</v>
      </c>
      <c r="D226" s="108"/>
      <c r="E226" s="337"/>
    </row>
    <row r="227" spans="1:5" ht="17" x14ac:dyDescent="0.2">
      <c r="A227" s="140" t="s">
        <v>1498</v>
      </c>
      <c r="B227" s="141">
        <f>SUM(B218:B226)</f>
        <v>0.99999999999999989</v>
      </c>
      <c r="C227" s="141">
        <f>SUM(C218:C226)</f>
        <v>0.99900000000000011</v>
      </c>
      <c r="D227" s="141">
        <f>SUM(D218:D226)</f>
        <v>0</v>
      </c>
      <c r="E227" s="337"/>
    </row>
    <row r="229" spans="1:5" ht="16" customHeight="1" x14ac:dyDescent="0.2">
      <c r="A229" s="331" t="s">
        <v>1712</v>
      </c>
      <c r="B229" s="331"/>
      <c r="C229" s="331"/>
      <c r="D229" s="331"/>
      <c r="E229" s="142"/>
    </row>
    <row r="230" spans="1:5" x14ac:dyDescent="0.2">
      <c r="A230" s="331"/>
      <c r="B230" s="331"/>
      <c r="C230" s="331"/>
      <c r="D230" s="331"/>
      <c r="E230" s="142"/>
    </row>
    <row r="231" spans="1:5" x14ac:dyDescent="0.2">
      <c r="B231" s="142"/>
      <c r="C231" s="142"/>
      <c r="D231" s="142"/>
      <c r="E231" s="142"/>
    </row>
    <row r="235" spans="1:5" ht="19" x14ac:dyDescent="0.25">
      <c r="A235" s="120" t="s">
        <v>1713</v>
      </c>
    </row>
    <row r="237" spans="1:5" x14ac:dyDescent="0.2">
      <c r="A237" s="30" t="s">
        <v>1714</v>
      </c>
      <c r="D237" s="151">
        <v>3.4</v>
      </c>
    </row>
    <row r="238" spans="1:5" x14ac:dyDescent="0.2">
      <c r="A238" s="30"/>
      <c r="D238" s="17"/>
    </row>
    <row r="239" spans="1:5" x14ac:dyDescent="0.2">
      <c r="A239" s="37" t="s">
        <v>1715</v>
      </c>
      <c r="D239" s="109">
        <v>0.94</v>
      </c>
    </row>
    <row r="241" spans="1:2" ht="19" x14ac:dyDescent="0.25">
      <c r="A241" s="120"/>
    </row>
    <row r="246" spans="1:2" ht="19" x14ac:dyDescent="0.25">
      <c r="A246" s="120" t="s">
        <v>1716</v>
      </c>
    </row>
    <row r="248" spans="1:2" x14ac:dyDescent="0.2">
      <c r="A248" t="s">
        <v>1717</v>
      </c>
      <c r="B248" s="34" t="s">
        <v>962</v>
      </c>
    </row>
    <row r="249" spans="1:2" ht="34" x14ac:dyDescent="0.2">
      <c r="A249" s="142" t="s">
        <v>1718</v>
      </c>
    </row>
    <row r="251" spans="1:2" x14ac:dyDescent="0.2">
      <c r="A251" s="143" t="s">
        <v>1719</v>
      </c>
      <c r="B251" s="38"/>
    </row>
    <row r="253" spans="1:2" x14ac:dyDescent="0.2">
      <c r="A253" s="143" t="s">
        <v>1720</v>
      </c>
      <c r="B253" s="34"/>
    </row>
    <row r="255" spans="1:2" ht="32" customHeight="1" x14ac:dyDescent="0.2">
      <c r="A255" s="144" t="s">
        <v>1721</v>
      </c>
      <c r="B255" s="32"/>
    </row>
    <row r="257" spans="1:2" ht="34" x14ac:dyDescent="0.2">
      <c r="A257" s="145" t="s">
        <v>1722</v>
      </c>
      <c r="B257" s="32"/>
    </row>
    <row r="260" spans="1:2" ht="19" x14ac:dyDescent="0.25">
      <c r="A260" s="120" t="s">
        <v>1723</v>
      </c>
    </row>
    <row r="262" spans="1:2" x14ac:dyDescent="0.2">
      <c r="A262" t="s">
        <v>1724</v>
      </c>
      <c r="B262" s="34" t="s">
        <v>946</v>
      </c>
    </row>
    <row r="264" spans="1:2" x14ac:dyDescent="0.2">
      <c r="A264" t="s">
        <v>1725</v>
      </c>
    </row>
    <row r="265" spans="1:2" x14ac:dyDescent="0.2">
      <c r="A265" s="10" t="s">
        <v>1726</v>
      </c>
    </row>
    <row r="267" spans="1:2" x14ac:dyDescent="0.2">
      <c r="A267" s="33" t="s">
        <v>1727</v>
      </c>
      <c r="B267" s="248">
        <v>45337</v>
      </c>
    </row>
    <row r="268" spans="1:2" x14ac:dyDescent="0.2">
      <c r="A268" s="33" t="s">
        <v>1728</v>
      </c>
      <c r="B268" s="248"/>
    </row>
    <row r="271" spans="1:2" ht="19" x14ac:dyDescent="0.25">
      <c r="A271" s="120" t="s">
        <v>1729</v>
      </c>
    </row>
    <row r="273" spans="1:4" x14ac:dyDescent="0.2">
      <c r="A273" t="s">
        <v>1730</v>
      </c>
      <c r="B273" s="34" t="s">
        <v>946</v>
      </c>
    </row>
    <row r="275" spans="1:4" ht="19" x14ac:dyDescent="0.25">
      <c r="A275" s="120" t="s">
        <v>1731</v>
      </c>
    </row>
    <row r="277" spans="1:4" x14ac:dyDescent="0.2">
      <c r="A277" t="s">
        <v>1732</v>
      </c>
      <c r="C277" s="32" t="s">
        <v>962</v>
      </c>
    </row>
    <row r="279" spans="1:4" x14ac:dyDescent="0.2">
      <c r="A279" t="s">
        <v>1733</v>
      </c>
      <c r="C279" s="62"/>
    </row>
    <row r="281" spans="1:4" x14ac:dyDescent="0.2">
      <c r="A281" t="s">
        <v>1734</v>
      </c>
      <c r="D281" s="62">
        <v>45366</v>
      </c>
    </row>
    <row r="283" spans="1:4" ht="19" x14ac:dyDescent="0.25">
      <c r="A283" s="120" t="s">
        <v>1735</v>
      </c>
    </row>
    <row r="285" spans="1:4" x14ac:dyDescent="0.2">
      <c r="A285" t="s">
        <v>1736</v>
      </c>
    </row>
    <row r="287" spans="1:4" ht="17" x14ac:dyDescent="0.2">
      <c r="A287" s="111" t="s">
        <v>2323</v>
      </c>
    </row>
    <row r="289" spans="1:4" ht="34" customHeight="1" x14ac:dyDescent="0.2">
      <c r="A289" s="332" t="s">
        <v>1737</v>
      </c>
      <c r="B289" s="332"/>
      <c r="C289" s="333"/>
      <c r="D289" s="40"/>
    </row>
    <row r="290" spans="1:4" x14ac:dyDescent="0.2">
      <c r="A290" s="334" t="s">
        <v>1738</v>
      </c>
      <c r="B290" s="334"/>
      <c r="C290" s="335"/>
      <c r="D290" s="62">
        <v>45413</v>
      </c>
    </row>
    <row r="291" spans="1:4" x14ac:dyDescent="0.2">
      <c r="B291" s="16"/>
    </row>
    <row r="292" spans="1:4" x14ac:dyDescent="0.2">
      <c r="A292" t="s">
        <v>1739</v>
      </c>
      <c r="B292" s="16"/>
    </row>
    <row r="293" spans="1:4" x14ac:dyDescent="0.2">
      <c r="B293" s="16"/>
    </row>
    <row r="294" spans="1:4" ht="141" customHeight="1" x14ac:dyDescent="0.2">
      <c r="A294" s="15"/>
      <c r="B294" s="16"/>
    </row>
    <row r="295" spans="1:4" x14ac:dyDescent="0.2">
      <c r="B295" s="16"/>
    </row>
    <row r="296" spans="1:4" x14ac:dyDescent="0.2">
      <c r="B296" s="16"/>
    </row>
    <row r="297" spans="1:4" x14ac:dyDescent="0.2">
      <c r="B297" s="16"/>
    </row>
    <row r="298" spans="1:4" x14ac:dyDescent="0.2">
      <c r="B298" s="16"/>
    </row>
    <row r="299" spans="1:4" x14ac:dyDescent="0.2">
      <c r="A299" t="s">
        <v>1740</v>
      </c>
      <c r="B299" s="248"/>
    </row>
    <row r="300" spans="1:4" x14ac:dyDescent="0.2">
      <c r="B300" s="16"/>
    </row>
    <row r="301" spans="1:4" x14ac:dyDescent="0.2">
      <c r="A301" t="s">
        <v>1741</v>
      </c>
      <c r="B301" s="39"/>
    </row>
    <row r="302" spans="1:4" x14ac:dyDescent="0.2">
      <c r="B302" s="16"/>
    </row>
    <row r="303" spans="1:4" x14ac:dyDescent="0.2">
      <c r="A303" t="s">
        <v>1742</v>
      </c>
      <c r="B303" s="34"/>
    </row>
    <row r="306" spans="1:3" ht="19" x14ac:dyDescent="0.25">
      <c r="A306" s="120" t="s">
        <v>1743</v>
      </c>
    </row>
    <row r="308" spans="1:3" x14ac:dyDescent="0.2">
      <c r="A308" t="s">
        <v>1744</v>
      </c>
      <c r="C308" s="34" t="s">
        <v>946</v>
      </c>
    </row>
    <row r="310" spans="1:3" x14ac:dyDescent="0.2">
      <c r="A310" t="s">
        <v>1745</v>
      </c>
      <c r="B310" s="14"/>
    </row>
    <row r="311" spans="1:3" x14ac:dyDescent="0.2">
      <c r="B311" s="14"/>
    </row>
    <row r="312" spans="1:3" ht="17" x14ac:dyDescent="0.2">
      <c r="A312" s="208" t="s">
        <v>2347</v>
      </c>
    </row>
    <row r="313" spans="1:3" x14ac:dyDescent="0.2">
      <c r="A313" s="14"/>
    </row>
    <row r="314" spans="1:3" ht="19" x14ac:dyDescent="0.25">
      <c r="A314" s="120" t="s">
        <v>1746</v>
      </c>
    </row>
    <row r="316" spans="1:3" ht="32" customHeight="1" x14ac:dyDescent="0.2">
      <c r="A316" s="288" t="s">
        <v>1747</v>
      </c>
      <c r="B316" s="288"/>
      <c r="C316" s="32" t="s">
        <v>946</v>
      </c>
    </row>
    <row r="319" spans="1:3" ht="19" x14ac:dyDescent="0.25">
      <c r="A319" s="146" t="s">
        <v>1748</v>
      </c>
    </row>
    <row r="321" spans="1:3" ht="19" x14ac:dyDescent="0.25">
      <c r="A321" s="120" t="s">
        <v>1749</v>
      </c>
    </row>
    <row r="323" spans="1:3" ht="16" customHeight="1" x14ac:dyDescent="0.2">
      <c r="A323" s="308" t="s">
        <v>1750</v>
      </c>
      <c r="B323" s="308"/>
    </row>
    <row r="324" spans="1:3" x14ac:dyDescent="0.2">
      <c r="A324" s="308"/>
      <c r="B324" s="308"/>
      <c r="C324" s="32" t="s">
        <v>946</v>
      </c>
    </row>
    <row r="325" spans="1:3" x14ac:dyDescent="0.2">
      <c r="A325" s="308"/>
      <c r="B325" s="308"/>
    </row>
    <row r="326" spans="1:3" x14ac:dyDescent="0.2">
      <c r="A326" s="308"/>
      <c r="B326" s="308"/>
    </row>
    <row r="328" spans="1:3" x14ac:dyDescent="0.2">
      <c r="A328" s="147" t="s">
        <v>1751</v>
      </c>
    </row>
    <row r="329" spans="1:3" x14ac:dyDescent="0.2">
      <c r="A329" s="33" t="s">
        <v>1752</v>
      </c>
      <c r="B329" s="248">
        <v>45611</v>
      </c>
    </row>
    <row r="330" spans="1:3" x14ac:dyDescent="0.2">
      <c r="A330" s="33" t="s">
        <v>1753</v>
      </c>
      <c r="B330" s="248">
        <v>45626</v>
      </c>
    </row>
    <row r="331" spans="1:3" x14ac:dyDescent="0.2">
      <c r="A331" s="33"/>
      <c r="B331" s="212"/>
    </row>
    <row r="332" spans="1:3" x14ac:dyDescent="0.2">
      <c r="A332" s="33" t="s">
        <v>1754</v>
      </c>
      <c r="B332" s="248">
        <v>45323</v>
      </c>
    </row>
    <row r="333" spans="1:3" x14ac:dyDescent="0.2">
      <c r="A333" s="33" t="s">
        <v>1755</v>
      </c>
      <c r="B333" s="248">
        <v>45337</v>
      </c>
    </row>
    <row r="335" spans="1:3" x14ac:dyDescent="0.2">
      <c r="A335" s="147" t="s">
        <v>1763</v>
      </c>
    </row>
    <row r="336" spans="1:3" x14ac:dyDescent="0.2">
      <c r="A336" s="33" t="s">
        <v>2314</v>
      </c>
      <c r="B336" s="104">
        <v>109</v>
      </c>
    </row>
    <row r="337" spans="1:5" x14ac:dyDescent="0.2">
      <c r="A337" s="33" t="s">
        <v>2315</v>
      </c>
      <c r="B337" s="104">
        <v>30</v>
      </c>
    </row>
    <row r="338" spans="1:5" x14ac:dyDescent="0.2">
      <c r="A338" s="33"/>
      <c r="B338" s="256"/>
    </row>
    <row r="339" spans="1:5" ht="16" customHeight="1" x14ac:dyDescent="0.2">
      <c r="A339" s="33" t="s">
        <v>1756</v>
      </c>
      <c r="B339" s="7"/>
      <c r="C339" s="7"/>
      <c r="D339" s="7"/>
      <c r="E339" s="7"/>
    </row>
    <row r="340" spans="1:5" ht="68" customHeight="1" x14ac:dyDescent="0.2">
      <c r="A340" s="15"/>
      <c r="B340" s="7"/>
      <c r="C340" s="7"/>
      <c r="D340" s="7"/>
      <c r="E340" s="7"/>
    </row>
    <row r="341" spans="1:5" ht="31" customHeight="1" x14ac:dyDescent="0.2">
      <c r="A341" s="14"/>
      <c r="B341" s="7"/>
      <c r="C341" s="7"/>
      <c r="D341" s="7"/>
      <c r="E341" s="7"/>
    </row>
    <row r="342" spans="1:5" ht="19" x14ac:dyDescent="0.25">
      <c r="A342" s="120" t="s">
        <v>1757</v>
      </c>
    </row>
    <row r="344" spans="1:5" x14ac:dyDescent="0.2">
      <c r="A344" s="288" t="s">
        <v>1758</v>
      </c>
      <c r="B344" s="288"/>
    </row>
    <row r="345" spans="1:5" x14ac:dyDescent="0.2">
      <c r="A345" s="288"/>
      <c r="B345" s="288"/>
      <c r="C345" s="34" t="s">
        <v>946</v>
      </c>
    </row>
    <row r="346" spans="1:5" x14ac:dyDescent="0.2">
      <c r="A346" s="288"/>
      <c r="B346" s="288"/>
    </row>
    <row r="348" spans="1:5" x14ac:dyDescent="0.2">
      <c r="A348" s="148" t="s">
        <v>1759</v>
      </c>
    </row>
    <row r="349" spans="1:5" x14ac:dyDescent="0.2">
      <c r="A349" s="149" t="s">
        <v>1760</v>
      </c>
      <c r="B349" s="248">
        <v>45627</v>
      </c>
    </row>
    <row r="350" spans="1:5" x14ac:dyDescent="0.2">
      <c r="A350" s="149" t="s">
        <v>1761</v>
      </c>
      <c r="B350" s="248">
        <v>45292</v>
      </c>
    </row>
    <row r="352" spans="1:5" x14ac:dyDescent="0.2">
      <c r="A352" s="288" t="s">
        <v>1762</v>
      </c>
    </row>
    <row r="353" spans="1:5" x14ac:dyDescent="0.2">
      <c r="A353" s="288"/>
      <c r="B353" s="34" t="s">
        <v>962</v>
      </c>
    </row>
    <row r="355" spans="1:5" x14ac:dyDescent="0.2">
      <c r="A355" s="147" t="s">
        <v>1763</v>
      </c>
    </row>
    <row r="356" spans="1:5" x14ac:dyDescent="0.2">
      <c r="A356" s="33" t="s">
        <v>2311</v>
      </c>
      <c r="B356" s="104">
        <v>2076</v>
      </c>
    </row>
    <row r="357" spans="1:5" x14ac:dyDescent="0.2">
      <c r="A357" s="33" t="s">
        <v>2312</v>
      </c>
      <c r="B357" s="104">
        <v>1458</v>
      </c>
    </row>
    <row r="358" spans="1:5" x14ac:dyDescent="0.2">
      <c r="A358" s="33" t="s">
        <v>2313</v>
      </c>
      <c r="B358" s="209">
        <v>121</v>
      </c>
    </row>
    <row r="365" spans="1:5" ht="19" x14ac:dyDescent="0.25">
      <c r="A365" s="287" t="s">
        <v>1764</v>
      </c>
      <c r="B365" s="287"/>
      <c r="C365" s="287"/>
      <c r="D365" s="287"/>
      <c r="E365" s="287"/>
    </row>
  </sheetData>
  <sheetProtection algorithmName="SHA-512" hashValue="ne3yN7ckaFnNmjnLoqQCswUAVoR3qj1sFGbhzN3SZUhnSVg5PF2FfjF5+z3VdTkIqH4UIa9ANlTMfS2ZiSdgQw==" saltValue="SKZo/u+cS6kcazg6vU41cA==" spinCount="100000" sheet="1" formatCells="0" formatColumns="0" formatRows="0" selectLockedCells="1"/>
  <mergeCells count="27">
    <mergeCell ref="A115:C115"/>
    <mergeCell ref="A229:D230"/>
    <mergeCell ref="A289:C289"/>
    <mergeCell ref="A290:C290"/>
    <mergeCell ref="A148:E148"/>
    <mergeCell ref="E216:E227"/>
    <mergeCell ref="A344:B346"/>
    <mergeCell ref="A352:A353"/>
    <mergeCell ref="A365:E365"/>
    <mergeCell ref="A316:B316"/>
    <mergeCell ref="A323:B326"/>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horizontalDpi="0" verticalDpi="0"/>
  <headerFooter>
    <oddHeader xml:space="preserve">&amp;C 
</oddHeader>
    <oddFooter xml:space="preserve">&amp;C       </oddFooter>
  </headerFooter>
  <rowBreaks count="3" manualBreakCount="3">
    <brk id="143" max="16383" man="1"/>
    <brk id="320" max="16383" man="1"/>
    <brk id="341"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238" r:id="rId3" name="Check Box 70">
              <controlPr locked="0" defaultSize="0" autoFill="0" autoLine="0" autoPict="0">
                <anchor moveWithCells="1">
                  <from>
                    <xdr:col>0</xdr:col>
                    <xdr:colOff>127000</xdr:colOff>
                    <xdr:row>133</xdr:row>
                    <xdr:rowOff>114300</xdr:rowOff>
                  </from>
                  <to>
                    <xdr:col>0</xdr:col>
                    <xdr:colOff>1651000</xdr:colOff>
                    <xdr:row>135</xdr:row>
                    <xdr:rowOff>88900</xdr:rowOff>
                  </to>
                </anchor>
              </controlPr>
            </control>
          </mc:Choice>
        </mc:AlternateContent>
        <mc:AlternateContent xmlns:mc="http://schemas.openxmlformats.org/markup-compatibility/2006">
          <mc:Choice Requires="x14">
            <control shapeId="7239" r:id="rId4" name="Check Box 71">
              <controlPr locked="0" defaultSize="0" autoFill="0" autoLine="0" autoPict="0">
                <anchor moveWithCells="1">
                  <from>
                    <xdr:col>0</xdr:col>
                    <xdr:colOff>127000</xdr:colOff>
                    <xdr:row>135</xdr:row>
                    <xdr:rowOff>101600</xdr:rowOff>
                  </from>
                  <to>
                    <xdr:col>0</xdr:col>
                    <xdr:colOff>1651000</xdr:colOff>
                    <xdr:row>137</xdr:row>
                    <xdr:rowOff>76200</xdr:rowOff>
                  </to>
                </anchor>
              </controlPr>
            </control>
          </mc:Choice>
        </mc:AlternateContent>
        <mc:AlternateContent xmlns:mc="http://schemas.openxmlformats.org/markup-compatibility/2006">
          <mc:Choice Requires="x14">
            <control shapeId="7240" r:id="rId5" name="Check Box 72">
              <controlPr locked="0" defaultSize="0" autoFill="0" autoLine="0" autoPict="0">
                <anchor moveWithCells="1">
                  <from>
                    <xdr:col>0</xdr:col>
                    <xdr:colOff>139700</xdr:colOff>
                    <xdr:row>137</xdr:row>
                    <xdr:rowOff>114300</xdr:rowOff>
                  </from>
                  <to>
                    <xdr:col>0</xdr:col>
                    <xdr:colOff>1663700</xdr:colOff>
                    <xdr:row>139</xdr:row>
                    <xdr:rowOff>88900</xdr:rowOff>
                  </to>
                </anchor>
              </controlPr>
            </control>
          </mc:Choice>
        </mc:AlternateContent>
        <mc:AlternateContent xmlns:mc="http://schemas.openxmlformats.org/markup-compatibility/2006">
          <mc:Choice Requires="x14">
            <control shapeId="7241" r:id="rId6" name="Check Box 73">
              <controlPr locked="0" defaultSize="0" autoFill="0" autoLine="0" autoPict="0">
                <anchor moveWithCells="1">
                  <from>
                    <xdr:col>0</xdr:col>
                    <xdr:colOff>2133600</xdr:colOff>
                    <xdr:row>133</xdr:row>
                    <xdr:rowOff>114300</xdr:rowOff>
                  </from>
                  <to>
                    <xdr:col>0</xdr:col>
                    <xdr:colOff>3657600</xdr:colOff>
                    <xdr:row>135</xdr:row>
                    <xdr:rowOff>88900</xdr:rowOff>
                  </to>
                </anchor>
              </controlPr>
            </control>
          </mc:Choice>
        </mc:AlternateContent>
        <mc:AlternateContent xmlns:mc="http://schemas.openxmlformats.org/markup-compatibility/2006">
          <mc:Choice Requires="x14">
            <control shapeId="7242" r:id="rId7" name="Check Box 74">
              <controlPr locked="0" defaultSize="0" autoFill="0" autoLine="0" autoPict="0">
                <anchor moveWithCells="1">
                  <from>
                    <xdr:col>0</xdr:col>
                    <xdr:colOff>2133600</xdr:colOff>
                    <xdr:row>135</xdr:row>
                    <xdr:rowOff>114300</xdr:rowOff>
                  </from>
                  <to>
                    <xdr:col>0</xdr:col>
                    <xdr:colOff>4483100</xdr:colOff>
                    <xdr:row>137</xdr:row>
                    <xdr:rowOff>88900</xdr:rowOff>
                  </to>
                </anchor>
              </controlPr>
            </control>
          </mc:Choice>
        </mc:AlternateContent>
        <mc:AlternateContent xmlns:mc="http://schemas.openxmlformats.org/markup-compatibility/2006">
          <mc:Choice Requires="x14">
            <control shapeId="7243" r:id="rId8" name="Check Box 75">
              <controlPr locked="0" defaultSize="0" autoFill="0" autoLine="0" autoPict="0">
                <anchor moveWithCells="1">
                  <from>
                    <xdr:col>0</xdr:col>
                    <xdr:colOff>2146300</xdr:colOff>
                    <xdr:row>137</xdr:row>
                    <xdr:rowOff>127000</xdr:rowOff>
                  </from>
                  <to>
                    <xdr:col>0</xdr:col>
                    <xdr:colOff>4025900</xdr:colOff>
                    <xdr:row>139</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owColHeaders="0" showRuler="0" view="pageLayout" zoomScale="110" zoomScaleNormal="100" zoomScalePageLayoutView="110" workbookViewId="0">
      <selection activeCell="D15" sqref="D15"/>
    </sheetView>
  </sheetViews>
  <sheetFormatPr baseColWidth="10" defaultColWidth="11" defaultRowHeight="16" x14ac:dyDescent="0.2"/>
  <cols>
    <col min="2" max="2" width="15" customWidth="1"/>
    <col min="3" max="4" width="11.5" customWidth="1"/>
    <col min="5" max="5" width="11.6640625" customWidth="1"/>
    <col min="6" max="6" width="37.1640625" customWidth="1"/>
    <col min="7" max="7" width="10.1640625" customWidth="1"/>
    <col min="8" max="16" width="10.83203125" customWidth="1"/>
  </cols>
  <sheetData>
    <row r="1" spans="1:9" ht="19" x14ac:dyDescent="0.25">
      <c r="A1" s="285" t="s">
        <v>2326</v>
      </c>
      <c r="B1" s="285"/>
      <c r="C1" s="285"/>
      <c r="D1" s="285"/>
      <c r="E1" s="285"/>
      <c r="F1" s="285"/>
      <c r="G1" s="285"/>
      <c r="H1" s="5"/>
    </row>
    <row r="3" spans="1:9" ht="19" x14ac:dyDescent="0.25">
      <c r="A3" s="5" t="s">
        <v>1765</v>
      </c>
    </row>
    <row r="4" spans="1:9" ht="16" customHeight="1" x14ac:dyDescent="0.2">
      <c r="F4" s="339" t="s">
        <v>1766</v>
      </c>
      <c r="G4" s="339"/>
      <c r="H4" s="152"/>
    </row>
    <row r="5" spans="1:9" ht="24" x14ac:dyDescent="0.3">
      <c r="A5" t="s">
        <v>1767</v>
      </c>
      <c r="E5" s="32" t="s">
        <v>946</v>
      </c>
      <c r="F5" s="339"/>
      <c r="G5" s="339"/>
      <c r="H5" s="152"/>
      <c r="I5" s="153"/>
    </row>
    <row r="7" spans="1:9" ht="40" customHeight="1" x14ac:dyDescent="0.2">
      <c r="A7" s="288" t="s">
        <v>1768</v>
      </c>
      <c r="B7" s="288"/>
      <c r="C7" s="288"/>
      <c r="D7" s="288"/>
      <c r="E7" s="288"/>
      <c r="F7" s="288"/>
      <c r="G7" s="32" t="s">
        <v>946</v>
      </c>
      <c r="I7" s="7"/>
    </row>
    <row r="8" spans="1:9" x14ac:dyDescent="0.2">
      <c r="A8" s="7"/>
      <c r="B8" s="7"/>
      <c r="C8" s="7"/>
      <c r="D8" s="7"/>
      <c r="E8" s="7"/>
      <c r="F8" s="7"/>
      <c r="G8" s="7"/>
      <c r="H8" s="7"/>
      <c r="I8" s="7"/>
    </row>
    <row r="9" spans="1:9" ht="19" x14ac:dyDescent="0.25">
      <c r="A9" s="5" t="s">
        <v>1769</v>
      </c>
    </row>
    <row r="11" spans="1:9" ht="39" customHeight="1" x14ac:dyDescent="0.2">
      <c r="A11" s="288" t="s">
        <v>1770</v>
      </c>
      <c r="B11" s="288"/>
      <c r="C11" s="288"/>
      <c r="D11" s="288"/>
      <c r="E11" s="288"/>
      <c r="F11" s="288"/>
      <c r="G11" s="288"/>
      <c r="H11" s="7"/>
      <c r="I11" s="7"/>
    </row>
    <row r="12" spans="1:9" ht="39" customHeight="1" x14ac:dyDescent="0.2">
      <c r="A12" s="14"/>
      <c r="B12" s="14"/>
      <c r="C12" s="23" t="s">
        <v>1771</v>
      </c>
      <c r="D12" s="23" t="s">
        <v>1772</v>
      </c>
      <c r="E12" s="23" t="s">
        <v>1773</v>
      </c>
      <c r="F12" s="14"/>
      <c r="G12" s="14"/>
      <c r="H12" s="14"/>
      <c r="I12" s="14"/>
    </row>
    <row r="13" spans="1:9" x14ac:dyDescent="0.2">
      <c r="B13" s="33" t="s">
        <v>1453</v>
      </c>
      <c r="C13" s="32">
        <v>102</v>
      </c>
      <c r="D13" s="32">
        <v>35</v>
      </c>
      <c r="E13" s="32">
        <v>17</v>
      </c>
    </row>
    <row r="14" spans="1:9" x14ac:dyDescent="0.2">
      <c r="B14" s="33" t="s">
        <v>1454</v>
      </c>
      <c r="C14" s="32">
        <v>53</v>
      </c>
      <c r="D14" s="32">
        <v>25</v>
      </c>
      <c r="E14" s="32">
        <v>12</v>
      </c>
    </row>
    <row r="15" spans="1:9" x14ac:dyDescent="0.2">
      <c r="B15" s="33" t="s">
        <v>1455</v>
      </c>
      <c r="C15" s="32">
        <v>0</v>
      </c>
      <c r="D15" s="32">
        <v>0</v>
      </c>
      <c r="E15" s="32">
        <v>0</v>
      </c>
    </row>
    <row r="16" spans="1:9" x14ac:dyDescent="0.2">
      <c r="B16" s="33" t="s">
        <v>1498</v>
      </c>
      <c r="C16" s="154">
        <f>SUM(C13:C15)</f>
        <v>155</v>
      </c>
      <c r="D16" s="154">
        <f>SUM(D13:D15)</f>
        <v>60</v>
      </c>
      <c r="E16" s="154">
        <f>SUM(E13:E15)</f>
        <v>29</v>
      </c>
    </row>
    <row r="19" spans="1:7" ht="19" x14ac:dyDescent="0.25">
      <c r="A19" s="5" t="s">
        <v>1774</v>
      </c>
    </row>
    <row r="21" spans="1:7" x14ac:dyDescent="0.2">
      <c r="A21" t="s">
        <v>1775</v>
      </c>
    </row>
    <row r="29" spans="1:7" ht="19" x14ac:dyDescent="0.25">
      <c r="A29" s="5" t="s">
        <v>1776</v>
      </c>
    </row>
    <row r="31" spans="1:7" ht="35" customHeight="1" x14ac:dyDescent="0.2">
      <c r="A31" s="288" t="s">
        <v>1777</v>
      </c>
      <c r="B31" s="288"/>
      <c r="C31" s="288"/>
      <c r="D31" s="288"/>
      <c r="E31" s="288"/>
      <c r="F31" s="288"/>
      <c r="G31" s="32" t="s">
        <v>962</v>
      </c>
    </row>
    <row r="33" spans="1:8" x14ac:dyDescent="0.2">
      <c r="A33" t="s">
        <v>1778</v>
      </c>
      <c r="G33" s="17"/>
      <c r="H33" s="17"/>
    </row>
    <row r="34" spans="1:8" ht="24" customHeight="1" x14ac:dyDescent="0.2">
      <c r="B34" s="55" t="s">
        <v>1779</v>
      </c>
      <c r="C34" s="151"/>
      <c r="E34" s="54" t="s">
        <v>1780</v>
      </c>
      <c r="F34" s="32"/>
      <c r="G34" s="24"/>
    </row>
    <row r="36" spans="1:8" ht="19" x14ac:dyDescent="0.25">
      <c r="A36" s="5" t="s">
        <v>1781</v>
      </c>
    </row>
    <row r="38" spans="1:8" x14ac:dyDescent="0.2">
      <c r="A38" t="s">
        <v>1782</v>
      </c>
    </row>
    <row r="39" spans="1:8" x14ac:dyDescent="0.2">
      <c r="B39" s="10" t="s">
        <v>1783</v>
      </c>
    </row>
    <row r="41" spans="1:8" x14ac:dyDescent="0.2">
      <c r="A41" s="338" t="s">
        <v>1784</v>
      </c>
      <c r="B41" s="338"/>
      <c r="C41" s="338"/>
      <c r="D41" s="338"/>
      <c r="F41" s="32" t="s">
        <v>2319</v>
      </c>
    </row>
    <row r="42" spans="1:8" x14ac:dyDescent="0.2">
      <c r="A42" s="338" t="s">
        <v>1785</v>
      </c>
      <c r="B42" s="338"/>
      <c r="C42" s="338"/>
      <c r="D42" s="338"/>
      <c r="F42" s="32" t="s">
        <v>2318</v>
      </c>
    </row>
    <row r="43" spans="1:8" x14ac:dyDescent="0.2">
      <c r="A43" s="338" t="s">
        <v>1786</v>
      </c>
      <c r="B43" s="338"/>
      <c r="C43" s="338"/>
      <c r="D43" s="338"/>
      <c r="F43" s="32" t="s">
        <v>2318</v>
      </c>
    </row>
    <row r="44" spans="1:8" x14ac:dyDescent="0.2">
      <c r="A44" s="338" t="s">
        <v>1609</v>
      </c>
      <c r="B44" s="338"/>
      <c r="C44" s="338"/>
      <c r="D44" s="338"/>
      <c r="F44" s="32" t="s">
        <v>1002</v>
      </c>
    </row>
    <row r="45" spans="1:8" x14ac:dyDescent="0.2">
      <c r="A45" s="338" t="s">
        <v>1787</v>
      </c>
      <c r="B45" s="338"/>
      <c r="C45" s="338"/>
      <c r="D45" s="338"/>
      <c r="F45" s="32" t="s">
        <v>1002</v>
      </c>
    </row>
    <row r="46" spans="1:8" x14ac:dyDescent="0.2">
      <c r="A46" s="338" t="s">
        <v>1788</v>
      </c>
      <c r="B46" s="338"/>
      <c r="C46" s="338"/>
      <c r="D46" s="338"/>
      <c r="F46" s="32" t="s">
        <v>2318</v>
      </c>
    </row>
    <row r="49" spans="1:8" ht="19" x14ac:dyDescent="0.25">
      <c r="A49" s="5" t="s">
        <v>1789</v>
      </c>
    </row>
    <row r="50" spans="1:8" x14ac:dyDescent="0.2">
      <c r="A50" t="s">
        <v>1790</v>
      </c>
    </row>
    <row r="52" spans="1:8" x14ac:dyDescent="0.2">
      <c r="B52" s="338" t="s">
        <v>1791</v>
      </c>
      <c r="C52" s="338"/>
      <c r="D52" s="338"/>
      <c r="E52" s="151"/>
    </row>
    <row r="54" spans="1:8" ht="19" x14ac:dyDescent="0.25">
      <c r="A54" s="5" t="s">
        <v>1792</v>
      </c>
    </row>
    <row r="55" spans="1:8" x14ac:dyDescent="0.2">
      <c r="A55" t="s">
        <v>1793</v>
      </c>
    </row>
    <row r="57" spans="1:8" x14ac:dyDescent="0.2">
      <c r="B57" s="338" t="s">
        <v>1791</v>
      </c>
      <c r="C57" s="338"/>
      <c r="D57" s="338"/>
      <c r="E57" s="151"/>
    </row>
    <row r="58" spans="1:8" ht="19" x14ac:dyDescent="0.25">
      <c r="A58" s="5" t="s">
        <v>1794</v>
      </c>
    </row>
    <row r="59" spans="1:8" ht="115" customHeight="1" x14ac:dyDescent="0.2">
      <c r="F59" s="171"/>
    </row>
    <row r="61" spans="1:8" ht="19" x14ac:dyDescent="0.25">
      <c r="A61" s="5" t="s">
        <v>1795</v>
      </c>
    </row>
    <row r="62" spans="1:8" ht="24" customHeight="1" x14ac:dyDescent="0.2">
      <c r="A62" s="288" t="s">
        <v>1796</v>
      </c>
      <c r="B62" s="288"/>
      <c r="C62" s="288"/>
      <c r="D62" s="288"/>
      <c r="E62" s="288"/>
      <c r="F62" s="288"/>
      <c r="G62" s="7"/>
      <c r="H62" s="7"/>
    </row>
    <row r="63" spans="1:8" ht="24" customHeight="1" x14ac:dyDescent="0.2">
      <c r="A63" s="288"/>
      <c r="B63" s="288"/>
      <c r="C63" s="288"/>
      <c r="D63" s="288"/>
      <c r="E63" s="288"/>
      <c r="F63" s="288"/>
      <c r="G63" s="7"/>
      <c r="H63" s="7"/>
    </row>
    <row r="65" spans="1:6" ht="34" x14ac:dyDescent="0.2">
      <c r="B65" s="23" t="s">
        <v>1728</v>
      </c>
      <c r="C65" s="23" t="s">
        <v>1797</v>
      </c>
      <c r="D65" s="23" t="s">
        <v>1798</v>
      </c>
      <c r="E65" s="23" t="s">
        <v>1799</v>
      </c>
      <c r="F65" s="23" t="s">
        <v>1800</v>
      </c>
    </row>
    <row r="66" spans="1:6" x14ac:dyDescent="0.2">
      <c r="A66" s="22" t="s">
        <v>1801</v>
      </c>
      <c r="B66" s="248"/>
      <c r="C66" s="248">
        <v>45474</v>
      </c>
      <c r="D66" s="248">
        <v>45505</v>
      </c>
      <c r="E66" s="248"/>
    </row>
    <row r="67" spans="1:6" x14ac:dyDescent="0.2">
      <c r="A67" s="22" t="s">
        <v>1802</v>
      </c>
      <c r="B67" s="248"/>
      <c r="C67" s="248"/>
      <c r="D67" s="248"/>
      <c r="E67" s="248"/>
    </row>
    <row r="68" spans="1:6" x14ac:dyDescent="0.2">
      <c r="A68" s="22" t="s">
        <v>1803</v>
      </c>
      <c r="B68" s="248"/>
      <c r="C68" s="248">
        <v>45597</v>
      </c>
      <c r="D68" s="248">
        <v>45627</v>
      </c>
      <c r="E68" s="248"/>
    </row>
    <row r="69" spans="1:6" x14ac:dyDescent="0.2">
      <c r="A69" s="22" t="s">
        <v>1804</v>
      </c>
      <c r="B69" s="248"/>
      <c r="C69" s="248"/>
      <c r="D69" s="248"/>
      <c r="E69" s="248"/>
    </row>
    <row r="75" spans="1:6" ht="19" x14ac:dyDescent="0.25">
      <c r="A75" s="5" t="s">
        <v>1805</v>
      </c>
    </row>
    <row r="77" spans="1:6" ht="40" customHeight="1" x14ac:dyDescent="0.2">
      <c r="A77" s="288" t="s">
        <v>1806</v>
      </c>
      <c r="B77" s="288"/>
      <c r="C77" s="288"/>
      <c r="D77" s="288"/>
      <c r="E77" s="49" t="s">
        <v>962</v>
      </c>
    </row>
    <row r="78" spans="1:6" ht="19" x14ac:dyDescent="0.25">
      <c r="A78" s="5" t="s">
        <v>1807</v>
      </c>
    </row>
    <row r="79" spans="1:6" x14ac:dyDescent="0.2">
      <c r="A79" t="s">
        <v>1808</v>
      </c>
    </row>
    <row r="80" spans="1:6" ht="66" customHeight="1" x14ac:dyDescent="0.2">
      <c r="F80" s="15"/>
    </row>
    <row r="81" spans="1:4" ht="19" x14ac:dyDescent="0.25">
      <c r="A81" s="5" t="s">
        <v>1809</v>
      </c>
    </row>
    <row r="82" spans="1:4" x14ac:dyDescent="0.2">
      <c r="A82" t="s">
        <v>1810</v>
      </c>
    </row>
    <row r="84" spans="1:4" x14ac:dyDescent="0.2">
      <c r="B84" t="s">
        <v>1811</v>
      </c>
      <c r="C84" s="32" t="s">
        <v>277</v>
      </c>
    </row>
    <row r="86" spans="1:4" ht="19" x14ac:dyDescent="0.25">
      <c r="A86" s="5" t="s">
        <v>1812</v>
      </c>
    </row>
    <row r="87" spans="1:4" x14ac:dyDescent="0.2">
      <c r="A87" t="s">
        <v>1813</v>
      </c>
    </row>
    <row r="89" spans="1:4" x14ac:dyDescent="0.2">
      <c r="A89" t="s">
        <v>1814</v>
      </c>
      <c r="B89" s="151">
        <v>64</v>
      </c>
      <c r="C89" t="s">
        <v>1815</v>
      </c>
      <c r="D89" s="32" t="s">
        <v>974</v>
      </c>
    </row>
    <row r="91" spans="1:4" ht="19" x14ac:dyDescent="0.25">
      <c r="A91" s="5" t="s">
        <v>1816</v>
      </c>
    </row>
    <row r="92" spans="1:4" x14ac:dyDescent="0.2">
      <c r="A92" t="s">
        <v>1817</v>
      </c>
    </row>
    <row r="94" spans="1:4" x14ac:dyDescent="0.2">
      <c r="A94" t="s">
        <v>1814</v>
      </c>
      <c r="B94" s="151">
        <v>64</v>
      </c>
      <c r="C94" t="s">
        <v>1815</v>
      </c>
      <c r="D94" s="32" t="s">
        <v>974</v>
      </c>
    </row>
    <row r="96" spans="1:4" ht="19" x14ac:dyDescent="0.25">
      <c r="A96" s="5" t="s">
        <v>1818</v>
      </c>
    </row>
    <row r="97" spans="1:6" x14ac:dyDescent="0.2">
      <c r="A97" t="s">
        <v>1819</v>
      </c>
    </row>
    <row r="99" spans="1:6" x14ac:dyDescent="0.2">
      <c r="A99" t="s">
        <v>1814</v>
      </c>
      <c r="B99" s="151"/>
    </row>
    <row r="101" spans="1:6" ht="19" x14ac:dyDescent="0.25">
      <c r="A101" s="5" t="s">
        <v>1820</v>
      </c>
    </row>
    <row r="102" spans="1:6" x14ac:dyDescent="0.2">
      <c r="A102" t="s">
        <v>1821</v>
      </c>
    </row>
    <row r="104" spans="1:6" x14ac:dyDescent="0.2">
      <c r="A104" t="s">
        <v>1814</v>
      </c>
      <c r="B104" s="151">
        <v>64</v>
      </c>
    </row>
    <row r="105" spans="1:6" x14ac:dyDescent="0.2">
      <c r="F105" s="14"/>
    </row>
    <row r="106" spans="1:6" x14ac:dyDescent="0.2">
      <c r="F106" s="14"/>
    </row>
    <row r="107" spans="1:6" ht="19" x14ac:dyDescent="0.25">
      <c r="A107" s="5" t="s">
        <v>1822</v>
      </c>
      <c r="F107" s="14"/>
    </row>
    <row r="108" spans="1:6" x14ac:dyDescent="0.2">
      <c r="A108" t="s">
        <v>1823</v>
      </c>
      <c r="F108" s="14"/>
    </row>
    <row r="109" spans="1:6" ht="78" customHeight="1" x14ac:dyDescent="0.2">
      <c r="F109" s="15"/>
    </row>
    <row r="110" spans="1:6" ht="19" x14ac:dyDescent="0.25">
      <c r="A110" s="5" t="s">
        <v>1824</v>
      </c>
    </row>
    <row r="111" spans="1:6" x14ac:dyDescent="0.2">
      <c r="A111" t="s">
        <v>1825</v>
      </c>
    </row>
    <row r="116" spans="1:7" ht="19" x14ac:dyDescent="0.25">
      <c r="F116" s="52"/>
    </row>
    <row r="117" spans="1:7" ht="19" x14ac:dyDescent="0.25">
      <c r="A117" s="5" t="s">
        <v>1826</v>
      </c>
    </row>
    <row r="118" spans="1:7" x14ac:dyDescent="0.2">
      <c r="A118" s="288" t="s">
        <v>1827</v>
      </c>
      <c r="B118" s="288"/>
      <c r="C118" s="288"/>
      <c r="D118" s="288"/>
      <c r="E118" s="288"/>
      <c r="F118" s="288"/>
      <c r="G118" s="288"/>
    </row>
    <row r="119" spans="1:7" ht="20" customHeight="1" x14ac:dyDescent="0.2">
      <c r="A119" s="288"/>
      <c r="B119" s="288"/>
      <c r="C119" s="288"/>
      <c r="D119" s="288"/>
      <c r="E119" s="288"/>
      <c r="F119" s="288"/>
      <c r="G119" s="288"/>
    </row>
    <row r="120" spans="1:7" x14ac:dyDescent="0.2">
      <c r="B120" s="33" t="s">
        <v>1814</v>
      </c>
      <c r="C120" s="151">
        <v>64</v>
      </c>
      <c r="D120" s="33" t="s">
        <v>1815</v>
      </c>
      <c r="E120" s="32" t="s">
        <v>974</v>
      </c>
    </row>
    <row r="122" spans="1:7" ht="19" x14ac:dyDescent="0.25">
      <c r="A122" s="5" t="s">
        <v>1828</v>
      </c>
    </row>
    <row r="123" spans="1:7" x14ac:dyDescent="0.2">
      <c r="A123" s="288" t="s">
        <v>1829</v>
      </c>
      <c r="B123" s="288"/>
      <c r="C123" s="288"/>
      <c r="D123" s="288"/>
      <c r="E123" s="288"/>
      <c r="F123" s="288"/>
      <c r="G123" s="288"/>
    </row>
    <row r="124" spans="1:7" ht="35" customHeight="1" x14ac:dyDescent="0.2">
      <c r="A124" s="288"/>
      <c r="B124" s="288"/>
      <c r="C124" s="288"/>
      <c r="D124" s="288"/>
      <c r="E124" s="288"/>
      <c r="F124" s="288"/>
      <c r="G124" s="288"/>
    </row>
    <row r="125" spans="1:7" x14ac:dyDescent="0.2">
      <c r="B125" s="33" t="s">
        <v>1814</v>
      </c>
      <c r="C125" s="151">
        <v>20</v>
      </c>
      <c r="D125" s="33" t="s">
        <v>1815</v>
      </c>
      <c r="E125" s="32" t="s">
        <v>974</v>
      </c>
    </row>
    <row r="127" spans="1:7" ht="19" x14ac:dyDescent="0.25">
      <c r="A127" s="5" t="s">
        <v>1830</v>
      </c>
    </row>
    <row r="128" spans="1:7" ht="16" customHeight="1" x14ac:dyDescent="0.2">
      <c r="A128" s="288" t="s">
        <v>1831</v>
      </c>
      <c r="B128" s="288"/>
      <c r="C128" s="288"/>
      <c r="D128" s="288"/>
      <c r="E128" s="288"/>
      <c r="F128" s="32" t="s">
        <v>962</v>
      </c>
    </row>
    <row r="129" spans="1:8" ht="16" customHeight="1" x14ac:dyDescent="0.2">
      <c r="A129" s="288"/>
      <c r="B129" s="288"/>
      <c r="C129" s="288"/>
      <c r="D129" s="288"/>
      <c r="E129" s="288"/>
    </row>
    <row r="130" spans="1:8" x14ac:dyDescent="0.2">
      <c r="A130" s="8"/>
      <c r="B130" s="8"/>
      <c r="C130" s="8"/>
      <c r="D130" s="8"/>
      <c r="E130" s="8"/>
    </row>
    <row r="131" spans="1:8" x14ac:dyDescent="0.2">
      <c r="A131" t="s">
        <v>1832</v>
      </c>
      <c r="F131" s="254"/>
    </row>
    <row r="132" spans="1:8" ht="28" customHeight="1" x14ac:dyDescent="0.2"/>
    <row r="133" spans="1:8" ht="19" x14ac:dyDescent="0.25">
      <c r="A133" s="5" t="s">
        <v>1833</v>
      </c>
    </row>
    <row r="134" spans="1:8" ht="27" customHeight="1" x14ac:dyDescent="0.2">
      <c r="A134" t="s">
        <v>1834</v>
      </c>
    </row>
    <row r="135" spans="1:8" ht="206" customHeight="1" x14ac:dyDescent="0.2">
      <c r="F135" s="15"/>
    </row>
    <row r="136" spans="1:8" x14ac:dyDescent="0.2">
      <c r="F136" s="14"/>
    </row>
    <row r="137" spans="1:8" ht="19" x14ac:dyDescent="0.25">
      <c r="A137" s="287" t="s">
        <v>1835</v>
      </c>
      <c r="B137" s="287"/>
      <c r="C137" s="287"/>
      <c r="D137" s="287"/>
      <c r="E137" s="287"/>
      <c r="F137" s="287"/>
      <c r="G137" s="287"/>
      <c r="H137" s="6"/>
    </row>
  </sheetData>
  <sheetProtection algorithmName="SHA-512" hashValue="6KkyDhxRj3rjA/ED4HZBxUioL3U4X64okcCiW9N3va9wUHEPjg2bPKLs120Y0jyc29ox3TfjVEw59DY7OHjqNA==" saltValue="Vd87lVwKctdJZMlpP2gp0w==" spinCount="100000" sheet="1" formatColumns="0" formatRows="0" selectLockedCells="1"/>
  <mergeCells count="19">
    <mergeCell ref="A7:F7"/>
    <mergeCell ref="A1:G1"/>
    <mergeCell ref="F4:G5"/>
    <mergeCell ref="A118:G119"/>
    <mergeCell ref="A123:G124"/>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horizontalDpi="0" verticalDpi="0"/>
  <headerFooter>
    <oddHeader xml:space="preserve">&amp;C 
</oddHeader>
    <oddFooter xml:space="preserve">&amp;C    </oddFooter>
  </headerFooter>
  <rowBreaks count="3" manualBreakCount="3">
    <brk id="57" max="16383" man="1"/>
    <brk id="77" max="16383" man="1"/>
    <brk id="126"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0256" r:id="rId3" name="Check Box 16">
              <controlPr locked="0" defaultSize="0" autoFill="0" autoLine="0" autoPict="0" altText="Fall Rolling Admission">
                <anchor moveWithCells="1">
                  <from>
                    <xdr:col>5</xdr:col>
                    <xdr:colOff>444500</xdr:colOff>
                    <xdr:row>64</xdr:row>
                    <xdr:rowOff>342900</xdr:rowOff>
                  </from>
                  <to>
                    <xdr:col>6</xdr:col>
                    <xdr:colOff>368300</xdr:colOff>
                    <xdr:row>66</xdr:row>
                    <xdr:rowOff>88900</xdr:rowOff>
                  </to>
                </anchor>
              </controlPr>
            </control>
          </mc:Choice>
        </mc:AlternateContent>
        <mc:AlternateContent xmlns:mc="http://schemas.openxmlformats.org/markup-compatibility/2006">
          <mc:Choice Requires="x14">
            <control shapeId="10257" r:id="rId4" name="Check Box 17">
              <controlPr locked="0" defaultSize="0" autoFill="0" autoLine="0" autoPict="0" altText="Winter Rolling Admission">
                <anchor moveWithCells="1">
                  <from>
                    <xdr:col>5</xdr:col>
                    <xdr:colOff>431800</xdr:colOff>
                    <xdr:row>66</xdr:row>
                    <xdr:rowOff>114300</xdr:rowOff>
                  </from>
                  <to>
                    <xdr:col>6</xdr:col>
                    <xdr:colOff>355600</xdr:colOff>
                    <xdr:row>68</xdr:row>
                    <xdr:rowOff>88900</xdr:rowOff>
                  </to>
                </anchor>
              </controlPr>
            </control>
          </mc:Choice>
        </mc:AlternateContent>
        <mc:AlternateContent xmlns:mc="http://schemas.openxmlformats.org/markup-compatibility/2006">
          <mc:Choice Requires="x14">
            <control shapeId="10258" r:id="rId5" name="Check Box 18">
              <controlPr locked="0" defaultSize="0" autoFill="0" autoLine="0" autoPict="0" altText="Fall Rolling Admission">
                <anchor moveWithCells="1">
                  <from>
                    <xdr:col>5</xdr:col>
                    <xdr:colOff>431800</xdr:colOff>
                    <xdr:row>68</xdr:row>
                    <xdr:rowOff>101600</xdr:rowOff>
                  </from>
                  <to>
                    <xdr:col>6</xdr:col>
                    <xdr:colOff>355600</xdr:colOff>
                    <xdr:row>70</xdr:row>
                    <xdr:rowOff>76200</xdr:rowOff>
                  </to>
                </anchor>
              </controlPr>
            </control>
          </mc:Choice>
        </mc:AlternateContent>
        <mc:AlternateContent xmlns:mc="http://schemas.openxmlformats.org/markup-compatibility/2006">
          <mc:Choice Requires="x14">
            <control shapeId="10259" r:id="rId6" name="Check Box 19">
              <controlPr locked="0" defaultSize="0" autoFill="0" autoLine="0" autoPict="0" altText="Fall Rolling Admission">
                <anchor moveWithCells="1">
                  <from>
                    <xdr:col>5</xdr:col>
                    <xdr:colOff>431800</xdr:colOff>
                    <xdr:row>70</xdr:row>
                    <xdr:rowOff>127000</xdr:rowOff>
                  </from>
                  <to>
                    <xdr:col>6</xdr:col>
                    <xdr:colOff>355600</xdr:colOff>
                    <xdr:row>72</xdr:row>
                    <xdr:rowOff>101600</xdr:rowOff>
                  </to>
                </anchor>
              </controlPr>
            </control>
          </mc:Choice>
        </mc:AlternateContent>
        <mc:AlternateContent xmlns:mc="http://schemas.openxmlformats.org/markup-compatibility/2006">
          <mc:Choice Requires="x14">
            <control shapeId="10278" r:id="rId7" name="Check Box 38">
              <controlPr locked="0" defaultSize="0" autoFill="0" autoLine="0" autoPict="0">
                <anchor moveWithCells="1">
                  <from>
                    <xdr:col>0</xdr:col>
                    <xdr:colOff>584200</xdr:colOff>
                    <xdr:row>111</xdr:row>
                    <xdr:rowOff>114300</xdr:rowOff>
                  </from>
                  <to>
                    <xdr:col>4</xdr:col>
                    <xdr:colOff>139700</xdr:colOff>
                    <xdr:row>113</xdr:row>
                    <xdr:rowOff>88900</xdr:rowOff>
                  </to>
                </anchor>
              </controlPr>
            </control>
          </mc:Choice>
        </mc:AlternateContent>
        <mc:AlternateContent xmlns:mc="http://schemas.openxmlformats.org/markup-compatibility/2006">
          <mc:Choice Requires="x14">
            <control shapeId="10280" r:id="rId8" name="Check Box 40">
              <controlPr locked="0" defaultSize="0" autoFill="0" autoLine="0" autoPict="0">
                <anchor moveWithCells="1">
                  <from>
                    <xdr:col>4</xdr:col>
                    <xdr:colOff>584200</xdr:colOff>
                    <xdr:row>111</xdr:row>
                    <xdr:rowOff>127000</xdr:rowOff>
                  </from>
                  <to>
                    <xdr:col>6</xdr:col>
                    <xdr:colOff>685800</xdr:colOff>
                    <xdr:row>113</xdr:row>
                    <xdr:rowOff>101600</xdr:rowOff>
                  </to>
                </anchor>
              </controlPr>
            </control>
          </mc:Choice>
        </mc:AlternateContent>
        <mc:AlternateContent xmlns:mc="http://schemas.openxmlformats.org/markup-compatibility/2006">
          <mc:Choice Requires="x14">
            <control shapeId="10282" r:id="rId9" name="Check Box 42">
              <controlPr locked="0" defaultSize="0" autoFill="0" autoLine="0" autoPict="0">
                <anchor moveWithCells="1">
                  <from>
                    <xdr:col>0</xdr:col>
                    <xdr:colOff>571500</xdr:colOff>
                    <xdr:row>113</xdr:row>
                    <xdr:rowOff>101600</xdr:rowOff>
                  </from>
                  <to>
                    <xdr:col>4</xdr:col>
                    <xdr:colOff>673100</xdr:colOff>
                    <xdr:row>115</xdr:row>
                    <xdr:rowOff>88900</xdr:rowOff>
                  </to>
                </anchor>
              </controlPr>
            </control>
          </mc:Choice>
        </mc:AlternateContent>
        <mc:AlternateContent xmlns:mc="http://schemas.openxmlformats.org/markup-compatibility/2006">
          <mc:Choice Requires="x14">
            <control shapeId="10302" r:id="rId10" name="Check Box 62">
              <controlPr locked="0" defaultSize="0" autoFill="0" autoLine="0" autoPict="0">
                <anchor moveWithCells="1">
                  <from>
                    <xdr:col>0</xdr:col>
                    <xdr:colOff>444500</xdr:colOff>
                    <xdr:row>21</xdr:row>
                    <xdr:rowOff>190500</xdr:rowOff>
                  </from>
                  <to>
                    <xdr:col>2</xdr:col>
                    <xdr:colOff>0</xdr:colOff>
                    <xdr:row>23</xdr:row>
                    <xdr:rowOff>165100</xdr:rowOff>
                  </to>
                </anchor>
              </controlPr>
            </control>
          </mc:Choice>
        </mc:AlternateContent>
        <mc:AlternateContent xmlns:mc="http://schemas.openxmlformats.org/markup-compatibility/2006">
          <mc:Choice Requires="x14">
            <control shapeId="10303" r:id="rId11" name="Check Box 63">
              <controlPr locked="0" defaultSize="0" autoFill="0" autoLine="0" autoPict="0">
                <anchor moveWithCells="1">
                  <from>
                    <xdr:col>0</xdr:col>
                    <xdr:colOff>457200</xdr:colOff>
                    <xdr:row>24</xdr:row>
                    <xdr:rowOff>38100</xdr:rowOff>
                  </from>
                  <to>
                    <xdr:col>2</xdr:col>
                    <xdr:colOff>0</xdr:colOff>
                    <xdr:row>26</xdr:row>
                    <xdr:rowOff>12700</xdr:rowOff>
                  </to>
                </anchor>
              </controlPr>
            </control>
          </mc:Choice>
        </mc:AlternateContent>
        <mc:AlternateContent xmlns:mc="http://schemas.openxmlformats.org/markup-compatibility/2006">
          <mc:Choice Requires="x14">
            <control shapeId="10304" r:id="rId12" name="Check Box 64">
              <controlPr locked="0" defaultSize="0" autoFill="0" autoLine="0" autoPict="0">
                <anchor moveWithCells="1">
                  <from>
                    <xdr:col>2</xdr:col>
                    <xdr:colOff>762000</xdr:colOff>
                    <xdr:row>21</xdr:row>
                    <xdr:rowOff>177800</xdr:rowOff>
                  </from>
                  <to>
                    <xdr:col>4</xdr:col>
                    <xdr:colOff>520700</xdr:colOff>
                    <xdr:row>23</xdr:row>
                    <xdr:rowOff>152400</xdr:rowOff>
                  </to>
                </anchor>
              </controlPr>
            </control>
          </mc:Choice>
        </mc:AlternateContent>
        <mc:AlternateContent xmlns:mc="http://schemas.openxmlformats.org/markup-compatibility/2006">
          <mc:Choice Requires="x14">
            <control shapeId="10305" r:id="rId13" name="Check Box 65">
              <controlPr locked="0" defaultSize="0" autoFill="0" autoLine="0" autoPict="0">
                <anchor moveWithCells="1">
                  <from>
                    <xdr:col>2</xdr:col>
                    <xdr:colOff>749300</xdr:colOff>
                    <xdr:row>24</xdr:row>
                    <xdr:rowOff>63500</xdr:rowOff>
                  </from>
                  <to>
                    <xdr:col>4</xdr:col>
                    <xdr:colOff>520700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E41E23-8653-40E4-8673-CBEE25733D30}">
  <ds:schemaRefs>
    <ds:schemaRef ds:uri="http://schemas.microsoft.com/sharepoint/v3/contenttype/forms"/>
  </ds:schemaRefs>
</ds:datastoreItem>
</file>

<file path=customXml/itemProps3.xml><?xml version="1.0" encoding="utf-8"?>
<ds:datastoreItem xmlns:ds="http://schemas.openxmlformats.org/officeDocument/2006/customXml" ds:itemID="{9AEC495F-25E2-48D5-8355-5A49C82391B8}">
  <ds:schemaRefs>
    <ds:schemaRef ds:uri="http://www.w3.org/XML/1998/namespace"/>
    <ds:schemaRef ds:uri="http://purl.org/dc/terms/"/>
    <ds:schemaRef ds:uri="220e8e58-85be-4bd4-9c14-013d28eb09c5"/>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ab3d5e18-20ff-42b7-aeea-4bbbe4e146d1"/>
    <ds:schemaRef ds:uri="http://schemas.microsoft.com/office/infopath/2007/PartnerControls"/>
    <ds:schemaRef ds:uri="http://schemas.microsoft.com/sharepoint/v3"/>
    <ds:schemaRef ds:uri="http://purl.org/dc/dcmitype/"/>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answers</vt:lpstr>
      <vt:lpstr>validations</vt:lpstr>
      <vt:lpstr>multi select</vt:lpstr>
      <vt:lpstr>Start Here</vt:lpstr>
      <vt:lpstr>Scratch Pad</vt:lpstr>
      <vt:lpstr>CDS-A</vt:lpstr>
      <vt:lpstr>CDS-B</vt:lpstr>
      <vt:lpstr>CDS-C</vt:lpstr>
      <vt:lpstr>CDS-D</vt:lpstr>
      <vt:lpstr>CDS-E</vt:lpstr>
      <vt:lpstr>CDS-F</vt:lpstr>
      <vt:lpstr>CDS-G</vt:lpstr>
      <vt:lpstr>CDS-H</vt:lpstr>
      <vt:lpstr>CDS-I</vt:lpstr>
      <vt:lpstr>CDS-J</vt:lpstr>
      <vt:lpstr>DEFINITIONS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Robertson, Shelby (She/Her/Hers)</dc:creator>
  <cp:keywords/>
  <dc:description/>
  <cp:lastModifiedBy>pbradley</cp:lastModifiedBy>
  <cp:revision/>
  <dcterms:created xsi:type="dcterms:W3CDTF">2023-08-17T17:23:40Z</dcterms:created>
  <dcterms:modified xsi:type="dcterms:W3CDTF">2024-03-20T15:37:31Z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